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.Skupien\Desktop\2021\Czerwiec\pliki na giełdę\2020 SKONSOLIDOWANE\"/>
    </mc:Choice>
  </mc:AlternateContent>
  <bookViews>
    <workbookView xWindow="-120" yWindow="-120" windowWidth="20736" windowHeight="11160" tabRatio="867" activeTab="1"/>
  </bookViews>
  <sheets>
    <sheet name="Dane podstawowe" sheetId="2" r:id="rId1"/>
    <sheet name="wybrane dane finansowe" sheetId="64" r:id="rId2"/>
    <sheet name="RZiS" sheetId="7" r:id="rId3"/>
    <sheet name="Skr. spr. z cał. dochodów" sheetId="53" r:id="rId4"/>
    <sheet name="Aktywa" sheetId="3" r:id="rId5"/>
    <sheet name="Pasywa" sheetId="8" r:id="rId6"/>
    <sheet name="ZZwK" sheetId="9" r:id="rId7"/>
    <sheet name="RPP" sheetId="6" r:id="rId8"/>
    <sheet name="NOTA 1,2 - Przychody i segmenty" sheetId="4" r:id="rId9"/>
    <sheet name="NOTA 3 - Koszty rodzajowe" sheetId="11" r:id="rId10"/>
    <sheet name="NOTA 4 - PPO i PKO" sheetId="5" r:id="rId11"/>
    <sheet name="NOTA 5 - PF i KF" sheetId="10" r:id="rId12"/>
    <sheet name="NOTA 6 - Podatek " sheetId="12" r:id="rId13"/>
    <sheet name="NOTA 7 - Zysk na 1 akcję" sheetId="14" r:id="rId14"/>
    <sheet name="NOTA 9 -Rzeczowe aktywa trwałe" sheetId="18" r:id="rId15"/>
    <sheet name="NOTA 10 -Wartości niematerialne" sheetId="17" r:id="rId16"/>
    <sheet name="NOTA 11 - PRAWO DO UŻYTKOWANIA" sheetId="67" r:id="rId17"/>
    <sheet name="NOTA 12 - Wartość firmy" sheetId="50" r:id="rId18"/>
    <sheet name="NOTA 13,14,15 - Udziały,poz.akt" sheetId="22" r:id="rId19"/>
    <sheet name="NOTA 16 -Akt. fin." sheetId="59" r:id="rId20"/>
    <sheet name="NOTA 17,18 - Należności" sheetId="27" r:id="rId21"/>
    <sheet name="NOTA 19 - RMK" sheetId="37" r:id="rId22"/>
    <sheet name="NOTA 20 - Środki pieniężne" sheetId="26" r:id="rId23"/>
    <sheet name="NOTA  21,22,23- Kapitały" sheetId="25" r:id="rId24"/>
    <sheet name="NOTA 24 Kredyty i pożyczki" sheetId="24" r:id="rId25"/>
    <sheet name="NOTA 25 Zobowiązania finansowe" sheetId="60" r:id="rId26"/>
    <sheet name="NOTA 26,27 - Zob. hand i pozost" sheetId="45" r:id="rId27"/>
    <sheet name="NOTA 28 - RMP" sheetId="47" r:id="rId28"/>
    <sheet name="NOTA 29,30 - Rezerwy" sheetId="23" r:id="rId29"/>
    <sheet name="NOTA 31 - Zarządzanie ryzykiem" sheetId="72" r:id="rId30"/>
    <sheet name="NOTA 32 - Wpływ COVID-19" sheetId="73" r:id="rId31"/>
    <sheet name="NOTA 33 - Zarządzanie kapitałem" sheetId="34" r:id="rId32"/>
    <sheet name="NOTA 34 - Podmioty powiązane" sheetId="68" r:id="rId33"/>
    <sheet name="NOTA 35- Wynagrodzenie kadry " sheetId="31" r:id="rId34"/>
    <sheet name="NOTA 36 - Sruktura zatrudnienia" sheetId="35" r:id="rId35"/>
    <sheet name="NOTA 41 - Wynagrodzenie BR" sheetId="56" r:id="rId36"/>
    <sheet name="NOTA 42 - Objasnienia do RPP" sheetId="36" r:id="rId37"/>
    <sheet name="opis zmian" sheetId="69" r:id="rId38"/>
    <sheet name="uzgodnienia" sheetId="70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Toc103232643" localSheetId="13">'NOTA 7 - Zysk na 1 akcję'!#REF!</definedName>
    <definedName name="BZ">[1]Dane!$BB$55</definedName>
    <definedName name="BZPoprzedni">[1]Dane!$BB$56</definedName>
    <definedName name="KoncOkrPoprzAlt" localSheetId="15">[2]Dane!$BB$72</definedName>
    <definedName name="KoncOkrSpraw" localSheetId="15">[2]Dane!$BB$63</definedName>
    <definedName name="_xlnm.Print_Area" localSheetId="4">Aktywa!$B$2:$I$25</definedName>
    <definedName name="_xlnm.Print_Area" localSheetId="23">'NOTA  21,22,23- Kapitały'!$B$2:$I$140</definedName>
    <definedName name="_xlnm.Print_Area" localSheetId="8">'NOTA 1,2 - Przychody i segmenty'!#REF!</definedName>
    <definedName name="_xlnm.Print_Area" localSheetId="15">'NOTA 10 -Wartości niematerialne'!$B$2:$J$104</definedName>
    <definedName name="_xlnm.Print_Area" localSheetId="17">'NOTA 12 - Wartość firmy'!$B$2:$H$45</definedName>
    <definedName name="_xlnm.Print_Area" localSheetId="18">'NOTA 13,14,15 - Udziały,poz.akt'!$A$28:$I$73</definedName>
    <definedName name="_xlnm.Print_Area" localSheetId="19">'NOTA 16 -Akt. fin.'!$A$2:$G$85</definedName>
    <definedName name="_xlnm.Print_Area" localSheetId="20">'NOTA 17,18 - Należności'!$A$2:$I$138</definedName>
    <definedName name="_xlnm.Print_Area" localSheetId="21">'NOTA 19 - RMK'!$A$2:$G$12</definedName>
    <definedName name="_xlnm.Print_Area" localSheetId="22">'NOTA 20 - Środki pieniężne'!$A$2:$C$12</definedName>
    <definedName name="_xlnm.Print_Area" localSheetId="24">'NOTA 24 Kredyty i pożyczki'!$A$2:$J$68</definedName>
    <definedName name="_xlnm.Print_Area" localSheetId="25">'NOTA 25 Zobowiązania finansowe'!$A$2:$H$108</definedName>
    <definedName name="_xlnm.Print_Area" localSheetId="26">'NOTA 26,27 - Zob. hand i pozost'!$A$2:$K$47</definedName>
    <definedName name="_xlnm.Print_Area" localSheetId="27">'NOTA 28 - RMP'!$A$2:$E$13</definedName>
    <definedName name="_xlnm.Print_Area" localSheetId="28">'NOTA 29,30 - Rezerwy'!$A$2:$L$68</definedName>
    <definedName name="_xlnm.Print_Area" localSheetId="9">'NOTA 3 - Koszty rodzajowe'!$B$2:$H$29</definedName>
    <definedName name="_xlnm.Print_Area" localSheetId="29">'NOTA 31 - Zarządzanie ryzykiem'!$A$2:$L$60</definedName>
    <definedName name="_xlnm.Print_Area" localSheetId="30">'NOTA 32 - Wpływ COVID-19'!$A$2:$L$19</definedName>
    <definedName name="_xlnm.Print_Area" localSheetId="31">'NOTA 33 - Zarządzanie kapitałem'!$A$2:$H$16</definedName>
    <definedName name="_xlnm.Print_Area" localSheetId="32">'NOTA 34 - Podmioty powiązane'!$A$2:$O$23</definedName>
    <definedName name="_xlnm.Print_Area" localSheetId="33">'NOTA 35- Wynagrodzenie kadry '!$A$2:$E$39</definedName>
    <definedName name="_xlnm.Print_Area" localSheetId="34">'NOTA 36 - Sruktura zatrudnienia'!$A$2:$F$21</definedName>
    <definedName name="_xlnm.Print_Area" localSheetId="10">'NOTA 4 - PPO i PKO'!$A$2:$H$46</definedName>
    <definedName name="_xlnm.Print_Area" localSheetId="35">'NOTA 41 - Wynagrodzenie BR'!$B$2:$G$9</definedName>
    <definedName name="_xlnm.Print_Area" localSheetId="36">'NOTA 42 - Objasnienia do RPP'!$A$2:$H$75</definedName>
    <definedName name="_xlnm.Print_Area" localSheetId="11">'NOTA 5 - PF i KF'!$A$2:$I$43</definedName>
    <definedName name="_xlnm.Print_Area" localSheetId="12">'NOTA 6 - Podatek '!$B$2:$L$80</definedName>
    <definedName name="_xlnm.Print_Area" localSheetId="13">'NOTA 7 - Zysk na 1 akcję'!$B$2:$H$25</definedName>
    <definedName name="_xlnm.Print_Area" localSheetId="14">'NOTA 9 -Rzeczowe aktywa trwałe'!$B$2:$J$164</definedName>
    <definedName name="_xlnm.Print_Area" localSheetId="5">Pasywa!$B$2:$H$31</definedName>
    <definedName name="_xlnm.Print_Area" localSheetId="7">RPP!$B$2:$G$58</definedName>
    <definedName name="_xlnm.Print_Area" localSheetId="2">RZiS!$B$2:$I$42</definedName>
    <definedName name="_xlnm.Print_Area" localSheetId="3">'Skr. spr. z cał. dochodów'!$B$2:$H$15</definedName>
    <definedName name="_xlnm.Print_Area" localSheetId="1">'wybrane dane finansowe'!$A$2:$E$34</definedName>
    <definedName name="_xlnm.Print_Area" localSheetId="6">ZZwK!$B$2:$K$51</definedName>
    <definedName name="OdDo" localSheetId="1">[3]Dane!$BB$58</definedName>
    <definedName name="OdDo">[4]Dane!$BB$58</definedName>
    <definedName name="OdDoPoprz" localSheetId="1">[3]Dane!$BB$59</definedName>
    <definedName name="OdDoPoprz">[4]Dane!$BB$59</definedName>
    <definedName name="OdDoPoprzAlt" localSheetId="1">[3]Dane!$BB$60</definedName>
    <definedName name="OdDoPoprzAlt">[4]Dane!$BB$60</definedName>
    <definedName name="PoczOkrPoprz" localSheetId="15">[2]Dane!$BB$68</definedName>
    <definedName name="PoczOkrSpraw" localSheetId="15">[2]Dane!$BB$62</definedName>
    <definedName name="SkrotWaluty" localSheetId="1">[5]Dane!$BB$96</definedName>
    <definedName name="SkrotWaluty">[1]Dane!$BB$96</definedName>
    <definedName name="WOkrPoprzAlt" localSheetId="1">[3]Dane!$BB$74</definedName>
    <definedName name="WOkrPoprzAlt">[4]Dane!$BB$74</definedName>
    <definedName name="WOkrSpraw" localSheetId="1">[3]Dane!$BB$67</definedName>
    <definedName name="WOkrSpraw">[4]Dane!$BB$67</definedName>
  </definedNames>
  <calcPr calcId="152511"/>
</workbook>
</file>

<file path=xl/calcChain.xml><?xml version="1.0" encoding="utf-8"?>
<calcChain xmlns="http://schemas.openxmlformats.org/spreadsheetml/2006/main">
  <c r="C12" i="73" l="1"/>
  <c r="F28" i="72"/>
  <c r="F27" i="72"/>
  <c r="F26" i="72"/>
  <c r="F25" i="72"/>
  <c r="F24" i="72"/>
  <c r="F23" i="72"/>
  <c r="E22" i="72"/>
  <c r="D22" i="72"/>
  <c r="C22" i="72"/>
  <c r="B22" i="72"/>
  <c r="A22" i="72"/>
  <c r="F21" i="72"/>
  <c r="F20" i="72"/>
  <c r="F19" i="72"/>
  <c r="F18" i="72"/>
  <c r="F17" i="72"/>
  <c r="F16" i="72"/>
  <c r="E15" i="72"/>
  <c r="D15" i="72"/>
  <c r="C15" i="72"/>
  <c r="B15" i="72"/>
  <c r="A15" i="72"/>
  <c r="E10" i="72"/>
  <c r="D10" i="72"/>
  <c r="C19" i="47"/>
  <c r="B19" i="47"/>
  <c r="B45" i="60"/>
  <c r="B44" i="60"/>
  <c r="B38" i="60"/>
  <c r="B37" i="60"/>
  <c r="B50" i="60" s="1"/>
  <c r="B26" i="60"/>
  <c r="B25" i="60"/>
  <c r="B20" i="60"/>
  <c r="B31" i="60" s="1"/>
  <c r="B50" i="24"/>
  <c r="B49" i="24"/>
  <c r="B45" i="24"/>
  <c r="B43" i="24" s="1"/>
  <c r="B42" i="24"/>
  <c r="B55" i="24" s="1"/>
  <c r="B33" i="24"/>
  <c r="B30" i="24" s="1"/>
  <c r="B29" i="24"/>
  <c r="B25" i="24"/>
  <c r="B36" i="24" s="1"/>
  <c r="D124" i="25"/>
  <c r="C124" i="25"/>
  <c r="E70" i="59"/>
  <c r="D70" i="59"/>
  <c r="E65" i="59"/>
  <c r="D65" i="59"/>
  <c r="C64" i="59"/>
  <c r="E63" i="59"/>
  <c r="D63" i="59"/>
  <c r="C48" i="59"/>
  <c r="B48" i="59"/>
  <c r="C42" i="59"/>
  <c r="B42" i="59"/>
  <c r="C29" i="59"/>
  <c r="B29" i="59"/>
  <c r="E21" i="22"/>
  <c r="A21" i="22"/>
  <c r="D17" i="22"/>
  <c r="E11" i="22"/>
  <c r="A11" i="22"/>
  <c r="C7" i="22"/>
  <c r="D7" i="22" s="1"/>
  <c r="C26" i="5"/>
  <c r="B26" i="5"/>
  <c r="F22" i="72" l="1"/>
  <c r="F15" i="72"/>
  <c r="D23" i="6"/>
  <c r="C23" i="6"/>
  <c r="F31" i="8" l="1"/>
  <c r="E52" i="23" l="1"/>
  <c r="B15" i="5" l="1"/>
  <c r="B6" i="5"/>
  <c r="G5" i="5"/>
  <c r="D21" i="12" l="1"/>
  <c r="C21" i="12"/>
  <c r="D20" i="12"/>
  <c r="C20" i="12"/>
  <c r="D7" i="8" l="1"/>
  <c r="I82" i="18" l="1"/>
  <c r="K91" i="4" l="1"/>
  <c r="J75" i="4"/>
  <c r="E51" i="4" l="1"/>
  <c r="K51" i="4" l="1"/>
  <c r="K52" i="4"/>
  <c r="K53" i="4"/>
  <c r="D53" i="4"/>
  <c r="E50" i="4"/>
  <c r="K50" i="4" s="1"/>
  <c r="E49" i="4" l="1"/>
  <c r="K49" i="4" s="1"/>
  <c r="J42" i="4" l="1"/>
  <c r="J80" i="4"/>
  <c r="J78" i="4"/>
  <c r="E26" i="67"/>
  <c r="C120" i="4"/>
  <c r="C119" i="4"/>
  <c r="C51" i="36"/>
  <c r="C39" i="36"/>
  <c r="D17" i="6"/>
  <c r="D15" i="6"/>
  <c r="D13" i="6"/>
  <c r="D19" i="6"/>
  <c r="D11" i="6"/>
  <c r="G70" i="27" l="1"/>
  <c r="F70" i="27"/>
  <c r="C70" i="27"/>
  <c r="D70" i="27"/>
  <c r="E70" i="27"/>
  <c r="E5" i="9" l="1"/>
  <c r="E25" i="7" l="1"/>
  <c r="I39" i="18" l="1"/>
  <c r="I40" i="18"/>
  <c r="G7" i="9"/>
  <c r="H33" i="9"/>
  <c r="G59" i="17" l="1"/>
  <c r="C59" i="17"/>
  <c r="E10" i="8"/>
  <c r="E5" i="3"/>
  <c r="D86" i="70"/>
  <c r="G39" i="70"/>
  <c r="G9" i="70"/>
  <c r="D9" i="70"/>
  <c r="F56" i="69"/>
  <c r="F38" i="69"/>
  <c r="G90" i="25" l="1"/>
  <c r="G80" i="25"/>
  <c r="G81" i="25"/>
  <c r="C31" i="10" l="1"/>
  <c r="B31" i="10"/>
  <c r="B18" i="10"/>
  <c r="C45" i="5"/>
  <c r="B45" i="5"/>
  <c r="C16" i="5"/>
  <c r="B16" i="5"/>
  <c r="C10" i="26" l="1"/>
  <c r="C11" i="26" s="1"/>
  <c r="B10" i="26" l="1"/>
  <c r="B11" i="26" s="1"/>
  <c r="B17" i="5" l="1"/>
  <c r="B32" i="10"/>
  <c r="C32" i="10"/>
  <c r="C6" i="10"/>
  <c r="C18" i="10" s="1"/>
  <c r="C46" i="5" l="1"/>
  <c r="B46" i="5"/>
  <c r="B30" i="5"/>
  <c r="C30" i="5"/>
  <c r="C19" i="35" l="1"/>
  <c r="B43" i="27" l="1"/>
  <c r="B7" i="24" l="1"/>
  <c r="C8" i="24"/>
  <c r="C14" i="24" s="1"/>
  <c r="B8" i="24"/>
  <c r="B14" i="24" l="1"/>
  <c r="B36" i="27"/>
  <c r="B30" i="59" l="1"/>
  <c r="E16" i="67" l="1"/>
  <c r="E15" i="67"/>
  <c r="B13" i="60" l="1"/>
  <c r="B12" i="60"/>
  <c r="C104" i="4" l="1"/>
  <c r="E82" i="4"/>
  <c r="F82" i="4"/>
  <c r="G82" i="4"/>
  <c r="D82" i="4"/>
  <c r="E44" i="4"/>
  <c r="F44" i="4"/>
  <c r="G44" i="4"/>
  <c r="D44" i="4"/>
  <c r="E76" i="4"/>
  <c r="J70" i="4"/>
  <c r="J68" i="4"/>
  <c r="K71" i="4"/>
  <c r="K72" i="4"/>
  <c r="K73" i="4"/>
  <c r="K74" i="4"/>
  <c r="E62" i="4"/>
  <c r="J37" i="4" l="1"/>
  <c r="K33" i="4"/>
  <c r="K34" i="4"/>
  <c r="K35" i="4"/>
  <c r="K36" i="4"/>
  <c r="E27" i="4"/>
  <c r="E26" i="4" s="1"/>
  <c r="F27" i="4"/>
  <c r="G27" i="4"/>
  <c r="D27" i="4"/>
  <c r="D26" i="4" s="1"/>
  <c r="G26" i="4" l="1"/>
  <c r="F26" i="4"/>
  <c r="J27" i="4"/>
  <c r="G24" i="4"/>
  <c r="F24" i="4"/>
  <c r="E24" i="4"/>
  <c r="D24" i="4"/>
  <c r="K45" i="4" l="1"/>
  <c r="J44" i="4"/>
  <c r="K44" i="4" s="1"/>
  <c r="K43" i="4"/>
  <c r="K42" i="4"/>
  <c r="J41" i="4"/>
  <c r="G41" i="4"/>
  <c r="F41" i="4"/>
  <c r="E41" i="4"/>
  <c r="D41" i="4"/>
  <c r="K39" i="4"/>
  <c r="L39" i="4" s="1"/>
  <c r="K38" i="4"/>
  <c r="L38" i="4" s="1"/>
  <c r="K32" i="4"/>
  <c r="L32" i="4" s="1"/>
  <c r="K31" i="4"/>
  <c r="L31" i="4" s="1"/>
  <c r="K30" i="4"/>
  <c r="L30" i="4" s="1"/>
  <c r="K29" i="4"/>
  <c r="L29" i="4" s="1"/>
  <c r="I28" i="4"/>
  <c r="I37" i="4" s="1"/>
  <c r="H28" i="4"/>
  <c r="H37" i="4" s="1"/>
  <c r="E28" i="4"/>
  <c r="E37" i="4" s="1"/>
  <c r="E40" i="4" s="1"/>
  <c r="G28" i="4"/>
  <c r="G37" i="4" s="1"/>
  <c r="G40" i="4" s="1"/>
  <c r="F28" i="4"/>
  <c r="F37" i="4" s="1"/>
  <c r="F40" i="4" s="1"/>
  <c r="J25" i="4"/>
  <c r="J28" i="4" s="1"/>
  <c r="K24" i="4"/>
  <c r="K41" i="4" l="1"/>
  <c r="K26" i="4"/>
  <c r="D28" i="4"/>
  <c r="G8" i="68"/>
  <c r="C8" i="68"/>
  <c r="E6" i="68"/>
  <c r="D6" i="68"/>
  <c r="C6" i="68"/>
  <c r="B32" i="45"/>
  <c r="C28" i="45"/>
  <c r="C27" i="45" s="1"/>
  <c r="B28" i="45"/>
  <c r="C23" i="45"/>
  <c r="B23" i="45"/>
  <c r="B22" i="45"/>
  <c r="C21" i="45"/>
  <c r="B21" i="45"/>
  <c r="B20" i="45"/>
  <c r="B19" i="45"/>
  <c r="C10" i="37"/>
  <c r="C11" i="37" s="1"/>
  <c r="B10" i="37"/>
  <c r="B7" i="37"/>
  <c r="B6" i="37"/>
  <c r="B5" i="37"/>
  <c r="B11" i="37" l="1"/>
  <c r="B27" i="45"/>
  <c r="D37" i="4"/>
  <c r="K28" i="4"/>
  <c r="B37" i="27"/>
  <c r="D40" i="4" l="1"/>
  <c r="K40" i="4" s="1"/>
  <c r="K37" i="4"/>
  <c r="B49" i="27"/>
  <c r="B44" i="27"/>
  <c r="B7" i="27"/>
  <c r="C73" i="27" l="1"/>
  <c r="B5" i="27" l="1"/>
  <c r="B48" i="27" l="1"/>
  <c r="B50" i="27" l="1"/>
  <c r="B39" i="27"/>
  <c r="B115" i="27" l="1"/>
  <c r="C107" i="27" l="1"/>
  <c r="B100" i="27" l="1"/>
  <c r="B99" i="27"/>
  <c r="B107" i="27"/>
  <c r="B33" i="27" l="1"/>
  <c r="B32" i="27"/>
  <c r="B47" i="27"/>
  <c r="B42" i="27" s="1"/>
  <c r="C86" i="27" l="1"/>
  <c r="D19" i="3"/>
  <c r="C9" i="45" l="1"/>
  <c r="G35" i="25"/>
  <c r="G34" i="25"/>
  <c r="G33" i="25"/>
  <c r="G32" i="25"/>
  <c r="G31" i="25"/>
  <c r="G30" i="25"/>
  <c r="C12" i="60" l="1"/>
  <c r="C71" i="27" l="1"/>
  <c r="D71" i="27"/>
  <c r="E71" i="27"/>
  <c r="F71" i="27"/>
  <c r="G71" i="27"/>
  <c r="H71" i="27"/>
  <c r="H91" i="27"/>
  <c r="G91" i="27"/>
  <c r="F91" i="27"/>
  <c r="E91" i="27"/>
  <c r="D91" i="27"/>
  <c r="C91" i="27"/>
  <c r="H90" i="27"/>
  <c r="G90" i="27"/>
  <c r="F90" i="27"/>
  <c r="E90" i="27"/>
  <c r="D90" i="27"/>
  <c r="C90" i="27"/>
  <c r="H88" i="27"/>
  <c r="G88" i="27"/>
  <c r="G92" i="27" s="1"/>
  <c r="F88" i="27"/>
  <c r="F92" i="27" s="1"/>
  <c r="E88" i="27"/>
  <c r="E92" i="27" s="1"/>
  <c r="D88" i="27"/>
  <c r="D92" i="27" s="1"/>
  <c r="C88" i="27"/>
  <c r="C92" i="27" s="1"/>
  <c r="C42" i="27"/>
  <c r="C35" i="27"/>
  <c r="D56" i="22"/>
  <c r="D55" i="22"/>
  <c r="G34" i="17" l="1"/>
  <c r="C64" i="17"/>
  <c r="J57" i="17"/>
  <c r="J58" i="17"/>
  <c r="J56" i="17"/>
  <c r="E53" i="67"/>
  <c r="D52" i="67"/>
  <c r="C52" i="67"/>
  <c r="B52" i="67"/>
  <c r="E50" i="67"/>
  <c r="D49" i="67"/>
  <c r="C49" i="67"/>
  <c r="B49" i="67"/>
  <c r="D48" i="67"/>
  <c r="C48" i="67"/>
  <c r="B48" i="67"/>
  <c r="B55" i="67" s="1"/>
  <c r="B18" i="67" s="1"/>
  <c r="E47" i="67"/>
  <c r="E46" i="67"/>
  <c r="E43" i="67"/>
  <c r="D42" i="67"/>
  <c r="C42" i="67"/>
  <c r="B42" i="67"/>
  <c r="E41" i="67"/>
  <c r="E40" i="67"/>
  <c r="D39" i="67"/>
  <c r="C39" i="67"/>
  <c r="C45" i="67" s="1"/>
  <c r="B39" i="67"/>
  <c r="E39" i="67" s="1"/>
  <c r="D38" i="67"/>
  <c r="C38" i="67"/>
  <c r="B38" i="67"/>
  <c r="E37" i="67"/>
  <c r="E36" i="67"/>
  <c r="I84" i="18"/>
  <c r="C55" i="67" l="1"/>
  <c r="C18" i="67" s="1"/>
  <c r="C56" i="67"/>
  <c r="C7" i="67"/>
  <c r="B45" i="67"/>
  <c r="B7" i="67" s="1"/>
  <c r="E49" i="67"/>
  <c r="E42" i="67"/>
  <c r="E48" i="67"/>
  <c r="D55" i="67"/>
  <c r="D18" i="67" s="1"/>
  <c r="D45" i="67"/>
  <c r="E52" i="67"/>
  <c r="E38" i="67"/>
  <c r="E55" i="67" l="1"/>
  <c r="E18" i="67"/>
  <c r="D56" i="67"/>
  <c r="D7" i="67"/>
  <c r="B56" i="67"/>
  <c r="E45" i="67"/>
  <c r="D10" i="12"/>
  <c r="D25" i="11"/>
  <c r="D27" i="11" s="1"/>
  <c r="E56" i="67" l="1"/>
  <c r="E57" i="67" s="1"/>
  <c r="E92" i="70"/>
  <c r="E88" i="70"/>
  <c r="E86" i="70"/>
  <c r="E85" i="70"/>
  <c r="E84" i="70"/>
  <c r="E83" i="70"/>
  <c r="E81" i="70"/>
  <c r="E80" i="70"/>
  <c r="E79" i="70"/>
  <c r="E78" i="70"/>
  <c r="E76" i="70"/>
  <c r="E75" i="70"/>
  <c r="E74" i="70"/>
  <c r="E73" i="70"/>
  <c r="E72" i="70"/>
  <c r="E71" i="70"/>
  <c r="E70" i="70"/>
  <c r="E69" i="70"/>
  <c r="D68" i="70"/>
  <c r="C68" i="70"/>
  <c r="E67" i="70"/>
  <c r="E66" i="70"/>
  <c r="E65" i="70"/>
  <c r="D64" i="70"/>
  <c r="C64" i="70"/>
  <c r="H58" i="70"/>
  <c r="E58" i="70"/>
  <c r="H57" i="70"/>
  <c r="E57" i="70"/>
  <c r="H56" i="70"/>
  <c r="E56" i="70"/>
  <c r="H55" i="70"/>
  <c r="E55" i="70"/>
  <c r="H54" i="70"/>
  <c r="E54" i="70"/>
  <c r="H53" i="70"/>
  <c r="E53" i="70"/>
  <c r="H52" i="70"/>
  <c r="E52" i="70"/>
  <c r="H51" i="70"/>
  <c r="E51" i="70"/>
  <c r="H50" i="70"/>
  <c r="E50" i="70"/>
  <c r="G49" i="70"/>
  <c r="F49" i="70"/>
  <c r="D49" i="70"/>
  <c r="C49" i="70"/>
  <c r="H48" i="70"/>
  <c r="E48" i="70"/>
  <c r="H47" i="70"/>
  <c r="E47" i="70"/>
  <c r="H46" i="70"/>
  <c r="E46" i="70"/>
  <c r="H45" i="70"/>
  <c r="E45" i="70"/>
  <c r="H44" i="70"/>
  <c r="E44" i="70"/>
  <c r="H43" i="70"/>
  <c r="E43" i="70"/>
  <c r="H42" i="70"/>
  <c r="E42" i="70"/>
  <c r="G41" i="70"/>
  <c r="F41" i="70"/>
  <c r="D41" i="70"/>
  <c r="C41" i="70"/>
  <c r="H40" i="70"/>
  <c r="E40" i="70"/>
  <c r="H39" i="70"/>
  <c r="E39" i="70"/>
  <c r="H38" i="70"/>
  <c r="E38" i="70"/>
  <c r="H37" i="70"/>
  <c r="E37" i="70"/>
  <c r="H36" i="70"/>
  <c r="E36" i="70"/>
  <c r="H35" i="70"/>
  <c r="E35" i="70"/>
  <c r="H34" i="70"/>
  <c r="E34" i="70"/>
  <c r="E32" i="70" s="1"/>
  <c r="E31" i="70" s="1"/>
  <c r="H33" i="70"/>
  <c r="E33" i="70"/>
  <c r="G32" i="70"/>
  <c r="G31" i="70" s="1"/>
  <c r="F32" i="70"/>
  <c r="F31" i="70" s="1"/>
  <c r="D32" i="70"/>
  <c r="D31" i="70" s="1"/>
  <c r="C32" i="70"/>
  <c r="C31" i="70" s="1"/>
  <c r="H26" i="70"/>
  <c r="E26" i="70"/>
  <c r="H25" i="70"/>
  <c r="E25" i="70"/>
  <c r="H24" i="70"/>
  <c r="E24" i="70"/>
  <c r="H23" i="70"/>
  <c r="E23" i="70"/>
  <c r="H22" i="70"/>
  <c r="E22" i="70"/>
  <c r="H21" i="70"/>
  <c r="E21" i="70"/>
  <c r="H20" i="70"/>
  <c r="E20" i="70"/>
  <c r="H19" i="70"/>
  <c r="E19" i="70"/>
  <c r="H18" i="70"/>
  <c r="H17" i="70" s="1"/>
  <c r="E18" i="70"/>
  <c r="G17" i="70"/>
  <c r="F17" i="70"/>
  <c r="D17" i="70"/>
  <c r="C17" i="70"/>
  <c r="H16" i="70"/>
  <c r="E16" i="70"/>
  <c r="H15" i="70"/>
  <c r="E15" i="70"/>
  <c r="H14" i="70"/>
  <c r="E14" i="70"/>
  <c r="H13" i="70"/>
  <c r="E13" i="70"/>
  <c r="H12" i="70"/>
  <c r="E12" i="70"/>
  <c r="H11" i="70"/>
  <c r="E11" i="70"/>
  <c r="H10" i="70"/>
  <c r="E10" i="70"/>
  <c r="H9" i="70"/>
  <c r="E9" i="70"/>
  <c r="H8" i="70"/>
  <c r="E8" i="70"/>
  <c r="H7" i="70"/>
  <c r="E7" i="70"/>
  <c r="H6" i="70"/>
  <c r="E6" i="70"/>
  <c r="G5" i="70"/>
  <c r="G27" i="70" s="1"/>
  <c r="F5" i="70"/>
  <c r="D5" i="70"/>
  <c r="C5" i="70"/>
  <c r="C27" i="70" s="1"/>
  <c r="I21" i="9"/>
  <c r="I31" i="9"/>
  <c r="I32" i="9"/>
  <c r="I33" i="9"/>
  <c r="I34" i="9"/>
  <c r="F14" i="8"/>
  <c r="F12" i="8" s="1"/>
  <c r="E14" i="8"/>
  <c r="F20" i="8"/>
  <c r="F4" i="8"/>
  <c r="F3" i="8" s="1"/>
  <c r="F15" i="3"/>
  <c r="F3" i="3"/>
  <c r="F59" i="70" l="1"/>
  <c r="E17" i="70"/>
  <c r="H32" i="70"/>
  <c r="H31" i="70" s="1"/>
  <c r="E5" i="70"/>
  <c r="E27" i="70" s="1"/>
  <c r="D27" i="70"/>
  <c r="G59" i="70"/>
  <c r="C59" i="70"/>
  <c r="F27" i="70"/>
  <c r="H49" i="70"/>
  <c r="F25" i="3"/>
  <c r="H5" i="70"/>
  <c r="H27" i="70" s="1"/>
  <c r="E49" i="70"/>
  <c r="C77" i="70"/>
  <c r="C82" i="70" s="1"/>
  <c r="H41" i="70"/>
  <c r="H59" i="70"/>
  <c r="E41" i="70"/>
  <c r="E59" i="70" s="1"/>
  <c r="D59" i="70"/>
  <c r="D77" i="70"/>
  <c r="D82" i="70" s="1"/>
  <c r="E68" i="70"/>
  <c r="E64" i="70"/>
  <c r="F30" i="8"/>
  <c r="C20" i="35"/>
  <c r="C12" i="35"/>
  <c r="C11" i="35"/>
  <c r="C10" i="35"/>
  <c r="C9" i="35"/>
  <c r="C8" i="35"/>
  <c r="C7" i="35"/>
  <c r="C87" i="70" l="1"/>
  <c r="C89" i="70" s="1"/>
  <c r="C91" i="70" s="1"/>
  <c r="C93" i="70" s="1"/>
  <c r="D87" i="70"/>
  <c r="D89" i="70" s="1"/>
  <c r="D91" i="70" s="1"/>
  <c r="D93" i="70" s="1"/>
  <c r="E77" i="70"/>
  <c r="E82" i="70" s="1"/>
  <c r="E87" i="70" l="1"/>
  <c r="E89" i="70" s="1"/>
  <c r="E91" i="70" s="1"/>
  <c r="E93" i="70" s="1"/>
  <c r="F76" i="4" l="1"/>
  <c r="K76" i="4" s="1"/>
  <c r="L76" i="4" s="1"/>
  <c r="F64" i="4"/>
  <c r="D10" i="3" l="1"/>
  <c r="E65" i="4" l="1"/>
  <c r="E64" i="4" s="1"/>
  <c r="D65" i="4"/>
  <c r="D64" i="4" s="1"/>
  <c r="E67" i="4" l="1"/>
  <c r="G64" i="4"/>
  <c r="I22" i="9" l="1"/>
  <c r="K22" i="9" s="1"/>
  <c r="G9" i="25" l="1"/>
  <c r="G10" i="25"/>
  <c r="G11" i="25"/>
  <c r="G12" i="25"/>
  <c r="G13" i="25"/>
  <c r="G8" i="25"/>
  <c r="G92" i="17"/>
  <c r="C92" i="17"/>
  <c r="D89" i="17"/>
  <c r="D92" i="17" s="1"/>
  <c r="E89" i="17"/>
  <c r="E92" i="17" s="1"/>
  <c r="F89" i="17"/>
  <c r="F91" i="17" s="1"/>
  <c r="G91" i="17"/>
  <c r="F92" i="17" l="1"/>
  <c r="E91" i="17"/>
  <c r="D91" i="17"/>
  <c r="I43" i="18"/>
  <c r="E25" i="67" l="1"/>
  <c r="E22" i="67"/>
  <c r="E14" i="67"/>
  <c r="E12" i="67"/>
  <c r="E11" i="67"/>
  <c r="E19" i="67"/>
  <c r="E8" i="67"/>
  <c r="E7" i="67"/>
  <c r="D13" i="67" l="1"/>
  <c r="D10" i="67"/>
  <c r="D24" i="67"/>
  <c r="D21" i="67"/>
  <c r="D20" i="67"/>
  <c r="D9" i="67"/>
  <c r="D17" i="67" l="1"/>
  <c r="D28" i="67"/>
  <c r="D29" i="67" l="1"/>
  <c r="E49" i="22" l="1"/>
  <c r="A49" i="22"/>
  <c r="E48" i="22"/>
  <c r="A48" i="22"/>
  <c r="D42" i="22"/>
  <c r="D41" i="22"/>
  <c r="E10" i="53" l="1"/>
  <c r="D10" i="53"/>
  <c r="E5" i="53"/>
  <c r="D5" i="53"/>
  <c r="B18" i="45" l="1"/>
  <c r="F51" i="12" l="1"/>
  <c r="F52" i="12"/>
  <c r="F25" i="23"/>
  <c r="F26" i="23"/>
  <c r="F27" i="23"/>
  <c r="F24" i="23"/>
  <c r="F18" i="23"/>
  <c r="F19" i="23"/>
  <c r="F20" i="23"/>
  <c r="D70" i="12"/>
  <c r="D72" i="12" s="1"/>
  <c r="E70" i="12"/>
  <c r="E72" i="12" s="1"/>
  <c r="F69" i="12"/>
  <c r="F67" i="12"/>
  <c r="F66" i="12"/>
  <c r="F62" i="12"/>
  <c r="F47" i="12"/>
  <c r="F46" i="12"/>
  <c r="F44" i="12"/>
  <c r="F43" i="12"/>
  <c r="F40" i="12"/>
  <c r="F28" i="23" l="1"/>
  <c r="F30" i="23" s="1"/>
  <c r="F63" i="12"/>
  <c r="F65" i="12"/>
  <c r="F64" i="12"/>
  <c r="F38" i="12"/>
  <c r="F35" i="12"/>
  <c r="F37" i="12"/>
  <c r="F39" i="12"/>
  <c r="F41" i="12"/>
  <c r="F42" i="12"/>
  <c r="F36" i="12"/>
  <c r="F45" i="12"/>
  <c r="B6" i="23" l="1"/>
  <c r="B5" i="23"/>
  <c r="K77" i="4" l="1"/>
  <c r="L77" i="4" s="1"/>
  <c r="K90" i="4"/>
  <c r="L90" i="4" s="1"/>
  <c r="K81" i="4"/>
  <c r="J82" i="4"/>
  <c r="J79" i="4"/>
  <c r="E79" i="4"/>
  <c r="F79" i="4"/>
  <c r="G79" i="4"/>
  <c r="D79" i="4"/>
  <c r="K80" i="4"/>
  <c r="K69" i="4"/>
  <c r="L69" i="4" s="1"/>
  <c r="K70" i="4"/>
  <c r="L70" i="4" s="1"/>
  <c r="H66" i="4"/>
  <c r="H75" i="4" s="1"/>
  <c r="I66" i="4"/>
  <c r="I75" i="4" s="1"/>
  <c r="F66" i="4"/>
  <c r="F75" i="4" s="1"/>
  <c r="F78" i="4" s="1"/>
  <c r="K79" i="4" l="1"/>
  <c r="E66" i="4"/>
  <c r="K64" i="4"/>
  <c r="G62" i="4"/>
  <c r="J63" i="4"/>
  <c r="D62" i="4"/>
  <c r="D66" i="4" s="1"/>
  <c r="D75" i="4" s="1"/>
  <c r="D78" i="4" s="1"/>
  <c r="K62" i="4" l="1"/>
  <c r="G66" i="4"/>
  <c r="G75" i="4" s="1"/>
  <c r="G78" i="4" s="1"/>
  <c r="E75" i="4"/>
  <c r="C10" i="4"/>
  <c r="C12" i="4"/>
  <c r="C11" i="4"/>
  <c r="K66" i="4" l="1"/>
  <c r="E78" i="4"/>
  <c r="K78" i="4" s="1"/>
  <c r="K75" i="4"/>
  <c r="C27" i="11" l="1"/>
  <c r="C24" i="67" l="1"/>
  <c r="B24" i="67"/>
  <c r="C21" i="67"/>
  <c r="B21" i="67"/>
  <c r="C20" i="67"/>
  <c r="B20" i="67"/>
  <c r="C13" i="67"/>
  <c r="B13" i="67"/>
  <c r="C10" i="67"/>
  <c r="B10" i="67"/>
  <c r="C9" i="67"/>
  <c r="B9" i="67"/>
  <c r="E13" i="67" l="1"/>
  <c r="E9" i="67"/>
  <c r="E10" i="67"/>
  <c r="E21" i="67"/>
  <c r="C28" i="67"/>
  <c r="E20" i="67"/>
  <c r="E24" i="67"/>
  <c r="B17" i="67"/>
  <c r="B28" i="67"/>
  <c r="C17" i="67"/>
  <c r="D6" i="56"/>
  <c r="C29" i="67" l="1"/>
  <c r="E28" i="67"/>
  <c r="E17" i="67"/>
  <c r="B29" i="67"/>
  <c r="G114" i="25"/>
  <c r="C34" i="27"/>
  <c r="C17" i="59"/>
  <c r="B17" i="59"/>
  <c r="E62" i="22"/>
  <c r="E61" i="22"/>
  <c r="A62" i="22"/>
  <c r="A61" i="22"/>
  <c r="J14" i="17"/>
  <c r="J81" i="17"/>
  <c r="D70" i="17"/>
  <c r="E70" i="17"/>
  <c r="F70" i="17"/>
  <c r="G70" i="17"/>
  <c r="H70" i="17"/>
  <c r="I70" i="17"/>
  <c r="I80" i="17" s="1"/>
  <c r="I27" i="17" s="1"/>
  <c r="C70" i="17"/>
  <c r="J69" i="17"/>
  <c r="C67" i="17"/>
  <c r="C21" i="17" s="1"/>
  <c r="J66" i="17"/>
  <c r="J65" i="17"/>
  <c r="D64" i="17"/>
  <c r="D67" i="17" s="1"/>
  <c r="D21" i="17" s="1"/>
  <c r="E64" i="17"/>
  <c r="E67" i="17" s="1"/>
  <c r="E21" i="17" s="1"/>
  <c r="F64" i="17"/>
  <c r="F67" i="17" s="1"/>
  <c r="F21" i="17" s="1"/>
  <c r="G64" i="17"/>
  <c r="G67" i="17" s="1"/>
  <c r="G21" i="17" s="1"/>
  <c r="H64" i="17"/>
  <c r="I64" i="17"/>
  <c r="I67" i="17" s="1"/>
  <c r="I21" i="17" s="1"/>
  <c r="J63" i="17"/>
  <c r="J62" i="17"/>
  <c r="D55" i="17"/>
  <c r="E55" i="17"/>
  <c r="F55" i="17"/>
  <c r="G55" i="17"/>
  <c r="H55" i="17"/>
  <c r="I55" i="17"/>
  <c r="C55" i="17"/>
  <c r="H50" i="17"/>
  <c r="I50" i="17"/>
  <c r="D49" i="17"/>
  <c r="E49" i="17"/>
  <c r="F49" i="17"/>
  <c r="G49" i="17"/>
  <c r="H49" i="17"/>
  <c r="I49" i="17"/>
  <c r="C49" i="17"/>
  <c r="J48" i="17"/>
  <c r="I81" i="18"/>
  <c r="I80" i="18"/>
  <c r="D79" i="18"/>
  <c r="E79" i="18"/>
  <c r="F79" i="18"/>
  <c r="G79" i="18"/>
  <c r="H79" i="18"/>
  <c r="C79" i="18"/>
  <c r="I86" i="18"/>
  <c r="D74" i="18"/>
  <c r="E74" i="18"/>
  <c r="F74" i="18"/>
  <c r="G74" i="18"/>
  <c r="H74" i="18"/>
  <c r="C74" i="18"/>
  <c r="I73" i="18"/>
  <c r="H64" i="18"/>
  <c r="I60" i="18"/>
  <c r="I58" i="18"/>
  <c r="D55" i="18"/>
  <c r="E55" i="18"/>
  <c r="F55" i="18"/>
  <c r="G55" i="18"/>
  <c r="H55" i="18"/>
  <c r="C55" i="18"/>
  <c r="I54" i="18"/>
  <c r="D104" i="4"/>
  <c r="I39" i="9"/>
  <c r="I38" i="9"/>
  <c r="I37" i="9"/>
  <c r="I36" i="9"/>
  <c r="I35" i="9"/>
  <c r="K34" i="9"/>
  <c r="K33" i="9"/>
  <c r="I30" i="9"/>
  <c r="I29" i="9"/>
  <c r="I27" i="9"/>
  <c r="K27" i="9" s="1"/>
  <c r="I26" i="9"/>
  <c r="K26" i="9" s="1"/>
  <c r="I25" i="9"/>
  <c r="I61" i="17" l="1"/>
  <c r="C51" i="27"/>
  <c r="J70" i="17"/>
  <c r="I82" i="17"/>
  <c r="J64" i="17"/>
  <c r="H61" i="17"/>
  <c r="J49" i="17"/>
  <c r="E29" i="67"/>
  <c r="E30" i="67" s="1"/>
  <c r="I74" i="18"/>
  <c r="I55" i="18"/>
  <c r="H67" i="17"/>
  <c r="H21" i="17" s="1"/>
  <c r="C48" i="12"/>
  <c r="C50" i="12" s="1"/>
  <c r="C53" i="12" s="1"/>
  <c r="D48" i="12"/>
  <c r="D50" i="12" s="1"/>
  <c r="D53" i="12" s="1"/>
  <c r="F48" i="12"/>
  <c r="F50" i="12" s="1"/>
  <c r="F53" i="12" s="1"/>
  <c r="J67" i="17" l="1"/>
  <c r="F59" i="12"/>
  <c r="C59" i="12"/>
  <c r="E48" i="12"/>
  <c r="E50" i="12" s="1"/>
  <c r="E53" i="12" s="1"/>
  <c r="D114" i="17" l="1"/>
  <c r="C114" i="17"/>
  <c r="D102" i="17"/>
  <c r="C102" i="17"/>
  <c r="D96" i="17"/>
  <c r="D107" i="17" s="1"/>
  <c r="C96" i="17"/>
  <c r="C107" i="17" s="1"/>
  <c r="J79" i="17"/>
  <c r="J78" i="17"/>
  <c r="J77" i="17"/>
  <c r="J76" i="17"/>
  <c r="H75" i="17"/>
  <c r="G75" i="17"/>
  <c r="F75" i="17"/>
  <c r="E75" i="17"/>
  <c r="D75" i="17"/>
  <c r="C75" i="17"/>
  <c r="J74" i="17"/>
  <c r="J73" i="17"/>
  <c r="J72" i="17"/>
  <c r="H71" i="17"/>
  <c r="G71" i="17"/>
  <c r="F71" i="17"/>
  <c r="E71" i="17"/>
  <c r="D71" i="17"/>
  <c r="C71" i="17"/>
  <c r="J68" i="17"/>
  <c r="J60" i="17"/>
  <c r="J59" i="17"/>
  <c r="J54" i="17"/>
  <c r="J53" i="17"/>
  <c r="J52" i="17"/>
  <c r="J51" i="17"/>
  <c r="G50" i="17"/>
  <c r="G61" i="17" s="1"/>
  <c r="F50" i="17"/>
  <c r="F61" i="17" s="1"/>
  <c r="F7" i="17" s="1"/>
  <c r="F9" i="17" s="1"/>
  <c r="E50" i="17"/>
  <c r="E61" i="17" s="1"/>
  <c r="D50" i="17"/>
  <c r="D61" i="17" s="1"/>
  <c r="C50" i="17"/>
  <c r="C61" i="17" s="1"/>
  <c r="J40" i="17"/>
  <c r="J38" i="17"/>
  <c r="J37" i="17"/>
  <c r="J36" i="17"/>
  <c r="J35" i="17"/>
  <c r="H34" i="17"/>
  <c r="F34" i="17"/>
  <c r="E34" i="17"/>
  <c r="D34" i="17"/>
  <c r="C34" i="17"/>
  <c r="J33" i="17"/>
  <c r="J32" i="17"/>
  <c r="J31" i="17"/>
  <c r="H30" i="17"/>
  <c r="G30" i="17"/>
  <c r="F30" i="17"/>
  <c r="E30" i="17"/>
  <c r="D30" i="17"/>
  <c r="C30" i="17"/>
  <c r="I29" i="17"/>
  <c r="I39" i="17" s="1"/>
  <c r="J25" i="17"/>
  <c r="J24" i="17"/>
  <c r="I23" i="17"/>
  <c r="I26" i="17" s="1"/>
  <c r="H23" i="17"/>
  <c r="H26" i="17" s="1"/>
  <c r="G23" i="17"/>
  <c r="G26" i="17" s="1"/>
  <c r="F23" i="17"/>
  <c r="E23" i="17"/>
  <c r="E26" i="17" s="1"/>
  <c r="D23" i="17"/>
  <c r="D26" i="17" s="1"/>
  <c r="C23" i="17"/>
  <c r="C26" i="17" s="1"/>
  <c r="J22" i="17"/>
  <c r="J21" i="17"/>
  <c r="J19" i="17"/>
  <c r="J18" i="17"/>
  <c r="J17" i="17"/>
  <c r="J16" i="17"/>
  <c r="I15" i="17"/>
  <c r="H15" i="17"/>
  <c r="G15" i="17"/>
  <c r="F15" i="17"/>
  <c r="E15" i="17"/>
  <c r="D15" i="17"/>
  <c r="C15" i="17"/>
  <c r="J13" i="17"/>
  <c r="J12" i="17"/>
  <c r="J11" i="17"/>
  <c r="I10" i="17"/>
  <c r="H10" i="17"/>
  <c r="G10" i="17"/>
  <c r="F10" i="17"/>
  <c r="E10" i="17"/>
  <c r="D10" i="17"/>
  <c r="C10" i="17"/>
  <c r="J8" i="17"/>
  <c r="H7" i="17"/>
  <c r="H9" i="17" s="1"/>
  <c r="D7" i="17"/>
  <c r="D9" i="17" s="1"/>
  <c r="C70" i="12"/>
  <c r="F70" i="12" s="1"/>
  <c r="F72" i="12" s="1"/>
  <c r="F20" i="17" l="1"/>
  <c r="D80" i="17"/>
  <c r="D84" i="17" s="1"/>
  <c r="H80" i="17"/>
  <c r="H27" i="17" s="1"/>
  <c r="H29" i="17" s="1"/>
  <c r="H39" i="17" s="1"/>
  <c r="D20" i="17"/>
  <c r="E80" i="17"/>
  <c r="E27" i="17" s="1"/>
  <c r="E29" i="17" s="1"/>
  <c r="E39" i="17" s="1"/>
  <c r="D27" i="17"/>
  <c r="D29" i="17" s="1"/>
  <c r="D39" i="17" s="1"/>
  <c r="E82" i="17"/>
  <c r="F80" i="17"/>
  <c r="F84" i="17" s="1"/>
  <c r="G80" i="17"/>
  <c r="G27" i="17" s="1"/>
  <c r="G29" i="17" s="1"/>
  <c r="G39" i="17" s="1"/>
  <c r="J75" i="17"/>
  <c r="C80" i="17"/>
  <c r="C27" i="17" s="1"/>
  <c r="C29" i="17" s="1"/>
  <c r="F73" i="12"/>
  <c r="H20" i="17"/>
  <c r="J34" i="17"/>
  <c r="J30" i="17"/>
  <c r="C72" i="12"/>
  <c r="C73" i="12" s="1"/>
  <c r="J23" i="17"/>
  <c r="J71" i="17"/>
  <c r="J61" i="17"/>
  <c r="J50" i="17"/>
  <c r="J55" i="17"/>
  <c r="J15" i="17"/>
  <c r="J10" i="17"/>
  <c r="I7" i="17"/>
  <c r="I9" i="17" s="1"/>
  <c r="I20" i="17" s="1"/>
  <c r="I41" i="17" s="1"/>
  <c r="C7" i="17"/>
  <c r="G7" i="17"/>
  <c r="G9" i="17" s="1"/>
  <c r="G20" i="17" s="1"/>
  <c r="E7" i="17"/>
  <c r="E9" i="17" s="1"/>
  <c r="E20" i="17" s="1"/>
  <c r="J28" i="17"/>
  <c r="F26" i="17"/>
  <c r="J26" i="17" s="1"/>
  <c r="J47" i="17"/>
  <c r="D82" i="17" l="1"/>
  <c r="D41" i="17"/>
  <c r="H82" i="17"/>
  <c r="E84" i="17"/>
  <c r="C82" i="17"/>
  <c r="H41" i="17"/>
  <c r="F27" i="17"/>
  <c r="F29" i="17" s="1"/>
  <c r="F39" i="17" s="1"/>
  <c r="F41" i="17" s="1"/>
  <c r="F82" i="17"/>
  <c r="E41" i="17"/>
  <c r="G41" i="17"/>
  <c r="J80" i="17"/>
  <c r="G82" i="17"/>
  <c r="C39" i="17"/>
  <c r="J7" i="17"/>
  <c r="C9" i="17"/>
  <c r="J82" i="17" l="1"/>
  <c r="J83" i="17" s="1"/>
  <c r="J29" i="17"/>
  <c r="J39" i="17" s="1"/>
  <c r="J27" i="17"/>
  <c r="J9" i="17"/>
  <c r="J20" i="17" s="1"/>
  <c r="C20" i="17"/>
  <c r="C41" i="17" s="1"/>
  <c r="J41" i="17" l="1"/>
  <c r="J42" i="17" s="1"/>
  <c r="C91" i="17" l="1"/>
  <c r="G101" i="25" l="1"/>
  <c r="G116" i="25"/>
  <c r="G89" i="25" l="1"/>
  <c r="G106" i="25"/>
  <c r="I16" i="9" l="1"/>
  <c r="I17" i="9"/>
  <c r="I18" i="9"/>
  <c r="I19" i="9"/>
  <c r="I20" i="9"/>
  <c r="I13" i="9"/>
  <c r="K13" i="9" s="1"/>
  <c r="I14" i="9"/>
  <c r="K14" i="9" s="1"/>
  <c r="J28" i="9"/>
  <c r="D28" i="9"/>
  <c r="E28" i="9"/>
  <c r="F28" i="9"/>
  <c r="G28" i="9"/>
  <c r="H28" i="9"/>
  <c r="I28" i="9"/>
  <c r="C28" i="9"/>
  <c r="K68" i="4" l="1"/>
  <c r="L68" i="4" s="1"/>
  <c r="K67" i="4"/>
  <c r="L67" i="4" s="1"/>
  <c r="C13" i="4" l="1"/>
  <c r="C15" i="4" s="1"/>
  <c r="D96" i="4" l="1"/>
  <c r="C96" i="4" s="1"/>
  <c r="C9" i="11" l="1"/>
  <c r="C10" i="11"/>
  <c r="C11" i="11"/>
  <c r="C6" i="11"/>
  <c r="C7" i="11"/>
  <c r="C8" i="11"/>
  <c r="C5" i="11"/>
  <c r="E37" i="18" l="1"/>
  <c r="B12" i="37" l="1"/>
  <c r="B106" i="27"/>
  <c r="B101" i="27"/>
  <c r="F73" i="27"/>
  <c r="H74" i="27"/>
  <c r="G74" i="27"/>
  <c r="F74" i="27"/>
  <c r="E74" i="27"/>
  <c r="D74" i="27"/>
  <c r="C74" i="27"/>
  <c r="H73" i="27"/>
  <c r="G73" i="27"/>
  <c r="E75" i="27"/>
  <c r="D73" i="27"/>
  <c r="C9" i="12"/>
  <c r="B35" i="27" l="1"/>
  <c r="B117" i="27"/>
  <c r="F75" i="27"/>
  <c r="B31" i="27"/>
  <c r="B34" i="27" s="1"/>
  <c r="C75" i="27"/>
  <c r="E73" i="27"/>
  <c r="G75" i="27"/>
  <c r="D75" i="27"/>
  <c r="B9" i="27"/>
  <c r="B51" i="27" l="1"/>
  <c r="C5" i="47"/>
  <c r="C10" i="47" s="1"/>
  <c r="B5" i="47"/>
  <c r="B34" i="45"/>
  <c r="B10" i="47" l="1"/>
  <c r="B12" i="47" s="1"/>
  <c r="B118" i="27"/>
  <c r="E20" i="8"/>
  <c r="D20" i="8"/>
  <c r="I47" i="18" l="1"/>
  <c r="I45" i="18" l="1"/>
  <c r="I38" i="18"/>
  <c r="I35" i="18"/>
  <c r="H36" i="18"/>
  <c r="H46" i="18" s="1"/>
  <c r="H26" i="18"/>
  <c r="I29" i="18"/>
  <c r="I30" i="18"/>
  <c r="I31" i="18"/>
  <c r="I32" i="18"/>
  <c r="I28" i="18"/>
  <c r="I21" i="18"/>
  <c r="I22" i="18"/>
  <c r="I23" i="18"/>
  <c r="I24" i="18"/>
  <c r="I25" i="18"/>
  <c r="I16" i="18"/>
  <c r="I20" i="18"/>
  <c r="I70" i="18" l="1"/>
  <c r="I69" i="18"/>
  <c r="I68" i="18"/>
  <c r="I67" i="18"/>
  <c r="I66" i="18"/>
  <c r="I65" i="18"/>
  <c r="I63" i="18"/>
  <c r="C76" i="12" l="1"/>
  <c r="C118" i="4"/>
  <c r="E118" i="4"/>
  <c r="E121" i="4" s="1"/>
  <c r="D10" i="4"/>
  <c r="D13" i="4" s="1"/>
  <c r="D15" i="4" s="1"/>
  <c r="B4" i="23"/>
  <c r="C17" i="45"/>
  <c r="B6" i="45"/>
  <c r="B17" i="45" s="1"/>
  <c r="D60" i="24"/>
  <c r="B5" i="24"/>
  <c r="B4" i="37"/>
  <c r="C120" i="27"/>
  <c r="B4" i="27"/>
  <c r="B14" i="27" s="1"/>
  <c r="B60" i="24" l="1"/>
  <c r="C121" i="4"/>
  <c r="C129" i="27"/>
  <c r="C14" i="27"/>
  <c r="B98" i="27"/>
  <c r="B35" i="23"/>
  <c r="C98" i="27"/>
  <c r="B120" i="27"/>
  <c r="B105" i="27"/>
  <c r="B129" i="27"/>
  <c r="C105" i="27"/>
  <c r="H63" i="22"/>
  <c r="B57" i="22"/>
  <c r="D57" i="22"/>
  <c r="D13" i="50"/>
  <c r="H85" i="18"/>
  <c r="H56" i="18"/>
  <c r="H71" i="18" s="1"/>
  <c r="D118" i="4" l="1"/>
  <c r="H87" i="18"/>
  <c r="D120" i="4"/>
  <c r="D117" i="4"/>
  <c r="D119" i="4"/>
  <c r="H15" i="18"/>
  <c r="H17" i="18" s="1"/>
  <c r="C57" i="22"/>
  <c r="D5" i="12"/>
  <c r="C5" i="12"/>
  <c r="C5" i="10"/>
  <c r="C22" i="10" s="1"/>
  <c r="B5" i="10"/>
  <c r="B22" i="10" s="1"/>
  <c r="E65" i="23" l="1"/>
  <c r="D64" i="23"/>
  <c r="C64" i="23"/>
  <c r="E63" i="23"/>
  <c r="E62" i="23"/>
  <c r="E61" i="23"/>
  <c r="E60" i="23"/>
  <c r="E59" i="23"/>
  <c r="B64" i="23"/>
  <c r="E58" i="23"/>
  <c r="E56" i="23"/>
  <c r="E51" i="23"/>
  <c r="E50" i="23"/>
  <c r="C49" i="23" l="1"/>
  <c r="C55" i="23" s="1"/>
  <c r="C57" i="23" s="1"/>
  <c r="C66" i="23"/>
  <c r="B49" i="23"/>
  <c r="B66" i="23"/>
  <c r="D49" i="23"/>
  <c r="D55" i="23" s="1"/>
  <c r="D57" i="23" s="1"/>
  <c r="D66" i="23"/>
  <c r="E64" i="23"/>
  <c r="B55" i="23"/>
  <c r="E49" i="23" l="1"/>
  <c r="E66" i="23"/>
  <c r="E55" i="23"/>
  <c r="B57" i="23"/>
  <c r="E57" i="23" s="1"/>
  <c r="B21" i="23"/>
  <c r="B28" i="23"/>
  <c r="C28" i="23"/>
  <c r="C17" i="23" s="1"/>
  <c r="C21" i="23" s="1"/>
  <c r="D28" i="23"/>
  <c r="E28" i="23"/>
  <c r="B4" i="47"/>
  <c r="C4" i="47"/>
  <c r="E17" i="23" l="1"/>
  <c r="E21" i="23" s="1"/>
  <c r="E23" i="23" s="1"/>
  <c r="D17" i="23"/>
  <c r="F17" i="23" l="1"/>
  <c r="F21" i="23" s="1"/>
  <c r="F23" i="23" s="1"/>
  <c r="D21" i="23"/>
  <c r="D23" i="23" s="1"/>
  <c r="C67" i="24"/>
  <c r="C41" i="23" l="1"/>
  <c r="B41" i="23"/>
  <c r="C9" i="23"/>
  <c r="B9" i="23"/>
  <c r="B11" i="23" s="1"/>
  <c r="D9" i="12" l="1"/>
  <c r="D6" i="12"/>
  <c r="C6" i="12"/>
  <c r="C12" i="12" l="1"/>
  <c r="D12" i="12"/>
  <c r="D80" i="12"/>
  <c r="D13" i="12" l="1"/>
  <c r="C13" i="12"/>
  <c r="C80" i="12"/>
  <c r="D28" i="11"/>
  <c r="C28" i="11"/>
  <c r="I78" i="18" l="1"/>
  <c r="I76" i="18"/>
  <c r="I72" i="18"/>
  <c r="I57" i="18"/>
  <c r="I53" i="18"/>
  <c r="I59" i="18"/>
  <c r="I61" i="18"/>
  <c r="I62" i="18"/>
  <c r="I42" i="18"/>
  <c r="I27" i="18"/>
  <c r="H18" i="18"/>
  <c r="I19" i="18"/>
  <c r="H33" i="18" l="1"/>
  <c r="H48" i="18" s="1"/>
  <c r="C18" i="45" l="1"/>
  <c r="C7" i="45"/>
  <c r="C10" i="45" s="1"/>
  <c r="B7" i="45"/>
  <c r="B10" i="45" s="1"/>
  <c r="E67" i="24"/>
  <c r="C17" i="24"/>
  <c r="C12" i="37"/>
  <c r="C132" i="27"/>
  <c r="B132" i="27"/>
  <c r="C106" i="27"/>
  <c r="C101" i="27"/>
  <c r="B87" i="27"/>
  <c r="B91" i="27" s="1"/>
  <c r="H84" i="27"/>
  <c r="H92" i="27" s="1"/>
  <c r="B82" i="27"/>
  <c r="B84" i="27" s="1"/>
  <c r="B70" i="27"/>
  <c r="B74" i="27" s="1"/>
  <c r="B69" i="27"/>
  <c r="H67" i="27"/>
  <c r="H75" i="27" s="1"/>
  <c r="B65" i="27"/>
  <c r="B67" i="27" s="1"/>
  <c r="C23" i="27"/>
  <c r="B23" i="27"/>
  <c r="C17" i="27"/>
  <c r="B17" i="27"/>
  <c r="C5" i="27"/>
  <c r="C10" i="27" s="1"/>
  <c r="C19" i="10"/>
  <c r="B19" i="10"/>
  <c r="C117" i="27" l="1"/>
  <c r="C118" i="27"/>
  <c r="C34" i="45"/>
  <c r="C35" i="45" s="1"/>
  <c r="C68" i="24"/>
  <c r="B17" i="24"/>
  <c r="B121" i="27"/>
  <c r="B123" i="27" s="1"/>
  <c r="B71" i="27"/>
  <c r="B75" i="27" s="1"/>
  <c r="B10" i="27"/>
  <c r="E68" i="24"/>
  <c r="B29" i="27"/>
  <c r="B53" i="27" s="1"/>
  <c r="C9" i="27"/>
  <c r="C29" i="27"/>
  <c r="C53" i="27" s="1"/>
  <c r="B35" i="45"/>
  <c r="C17" i="5"/>
  <c r="C121" i="27"/>
  <c r="C125" i="27" s="1"/>
  <c r="B73" i="27"/>
  <c r="B76" i="27" l="1"/>
  <c r="C56" i="27"/>
  <c r="B56" i="27"/>
  <c r="B125" i="27"/>
  <c r="I12" i="9" l="1"/>
  <c r="I15" i="9"/>
  <c r="K15" i="9" s="1"/>
  <c r="C13" i="50" l="1"/>
  <c r="B44" i="22" l="1"/>
  <c r="D44" i="22"/>
  <c r="C44" i="22" l="1"/>
  <c r="C10" i="36" l="1"/>
  <c r="C4" i="60"/>
  <c r="B4" i="60"/>
  <c r="D66" i="25"/>
  <c r="C66" i="25"/>
  <c r="D51" i="25"/>
  <c r="C51" i="25"/>
  <c r="D5" i="11" l="1"/>
  <c r="J40" i="9"/>
  <c r="K30" i="9"/>
  <c r="K31" i="9"/>
  <c r="K32" i="9"/>
  <c r="K35" i="9"/>
  <c r="K36" i="9"/>
  <c r="K37" i="9"/>
  <c r="K38" i="9"/>
  <c r="K39" i="9"/>
  <c r="K29" i="9"/>
  <c r="K28" i="9"/>
  <c r="K25" i="9"/>
  <c r="H40" i="9"/>
  <c r="F40" i="9"/>
  <c r="G40" i="9"/>
  <c r="E40" i="9"/>
  <c r="D40" i="9"/>
  <c r="C40" i="9"/>
  <c r="I40" i="9" l="1"/>
  <c r="K40" i="9" s="1"/>
  <c r="E26" i="18" l="1"/>
  <c r="D45" i="22" l="1"/>
  <c r="D4" i="56" l="1"/>
  <c r="C4" i="56"/>
  <c r="C11" i="60" l="1"/>
  <c r="C14" i="60" s="1"/>
  <c r="B11" i="60"/>
  <c r="B14" i="60" s="1"/>
  <c r="D131" i="25"/>
  <c r="G117" i="25"/>
  <c r="G115" i="25"/>
  <c r="G113" i="25"/>
  <c r="G112" i="25"/>
  <c r="G111" i="25"/>
  <c r="G109" i="25"/>
  <c r="F108" i="25"/>
  <c r="E108" i="25"/>
  <c r="D108" i="25"/>
  <c r="C108" i="25"/>
  <c r="G107" i="25"/>
  <c r="G105" i="25"/>
  <c r="G104" i="25"/>
  <c r="G103" i="25"/>
  <c r="G102" i="25"/>
  <c r="G100" i="25"/>
  <c r="F99" i="25"/>
  <c r="E99" i="25"/>
  <c r="D99" i="25"/>
  <c r="C99" i="25"/>
  <c r="G98" i="25"/>
  <c r="G96" i="25"/>
  <c r="G95" i="25"/>
  <c r="G94" i="25"/>
  <c r="G93" i="25"/>
  <c r="G92" i="25"/>
  <c r="G91" i="25"/>
  <c r="G88" i="25"/>
  <c r="F87" i="25"/>
  <c r="E87" i="25"/>
  <c r="D87" i="25"/>
  <c r="C87" i="25"/>
  <c r="G86" i="25"/>
  <c r="G85" i="25"/>
  <c r="G84" i="25"/>
  <c r="G83" i="25"/>
  <c r="G82" i="25"/>
  <c r="G79" i="25"/>
  <c r="F78" i="25"/>
  <c r="E78" i="25"/>
  <c r="D78" i="25"/>
  <c r="C78" i="25"/>
  <c r="D71" i="25"/>
  <c r="C71" i="25"/>
  <c r="D61" i="25"/>
  <c r="C61" i="25"/>
  <c r="D56" i="25"/>
  <c r="C56" i="25"/>
  <c r="D53" i="25"/>
  <c r="C53" i="25"/>
  <c r="E47" i="25"/>
  <c r="C47" i="25"/>
  <c r="E25" i="25"/>
  <c r="C25" i="25"/>
  <c r="C4" i="11"/>
  <c r="D4" i="11"/>
  <c r="D6" i="11"/>
  <c r="D7" i="11"/>
  <c r="D8" i="11"/>
  <c r="D9" i="11"/>
  <c r="D10" i="11"/>
  <c r="D11" i="11"/>
  <c r="C12" i="11"/>
  <c r="D12" i="11"/>
  <c r="C23" i="11"/>
  <c r="D23" i="11"/>
  <c r="D46" i="25" l="1"/>
  <c r="D45" i="25"/>
  <c r="D44" i="25"/>
  <c r="D24" i="25"/>
  <c r="D23" i="25"/>
  <c r="E118" i="25"/>
  <c r="E77" i="25" s="1"/>
  <c r="E97" i="25" s="1"/>
  <c r="G108" i="25"/>
  <c r="C131" i="25"/>
  <c r="C132" i="25" s="1"/>
  <c r="D132" i="25"/>
  <c r="F47" i="25"/>
  <c r="D118" i="25"/>
  <c r="D77" i="25" s="1"/>
  <c r="D97" i="25" s="1"/>
  <c r="F118" i="25"/>
  <c r="F77" i="25" s="1"/>
  <c r="F97" i="25" s="1"/>
  <c r="D13" i="11"/>
  <c r="D18" i="11" s="1"/>
  <c r="G78" i="25"/>
  <c r="G87" i="25"/>
  <c r="C13" i="11"/>
  <c r="C18" i="11" s="1"/>
  <c r="G99" i="25"/>
  <c r="C118" i="25"/>
  <c r="C77" i="25" s="1"/>
  <c r="C97" i="25" s="1"/>
  <c r="D60" i="25"/>
  <c r="C52" i="25" s="1"/>
  <c r="C60" i="25" s="1"/>
  <c r="D47" i="25"/>
  <c r="D25" i="25" l="1"/>
  <c r="F25" i="25"/>
  <c r="G77" i="25"/>
  <c r="G97" i="25" s="1"/>
  <c r="G119" i="25" s="1"/>
  <c r="G118" i="25"/>
  <c r="G120" i="25" s="1"/>
  <c r="I49" i="18" l="1"/>
  <c r="I10" i="9" l="1"/>
  <c r="K10" i="9" s="1"/>
  <c r="K16" i="9" l="1"/>
  <c r="I11" i="9" l="1"/>
  <c r="K11" i="9" s="1"/>
  <c r="C69" i="36" l="1"/>
  <c r="C58" i="36"/>
  <c r="C48" i="36"/>
  <c r="C43" i="36"/>
  <c r="C36" i="36"/>
  <c r="C26" i="36"/>
  <c r="C16" i="36"/>
  <c r="C11" i="36"/>
  <c r="C21" i="35"/>
  <c r="C13" i="35"/>
  <c r="C37" i="31"/>
  <c r="C29" i="31"/>
  <c r="C33" i="59"/>
  <c r="B14" i="59"/>
  <c r="B15" i="59" s="1"/>
  <c r="C14" i="59"/>
  <c r="C15" i="59" s="1"/>
  <c r="I79" i="18"/>
  <c r="D75" i="18"/>
  <c r="D85" i="18" s="1"/>
  <c r="E75" i="18"/>
  <c r="E85" i="18" s="1"/>
  <c r="E34" i="18" s="1"/>
  <c r="F75" i="18"/>
  <c r="F85" i="18" s="1"/>
  <c r="G75" i="18"/>
  <c r="G85" i="18" s="1"/>
  <c r="C75" i="18"/>
  <c r="I77" i="18"/>
  <c r="I83" i="18"/>
  <c r="D64" i="18"/>
  <c r="E64" i="18"/>
  <c r="F64" i="18"/>
  <c r="G64" i="18"/>
  <c r="C64" i="18"/>
  <c r="D56" i="18"/>
  <c r="E56" i="18"/>
  <c r="F56" i="18"/>
  <c r="G56" i="18"/>
  <c r="C56" i="18"/>
  <c r="D71" i="18" l="1"/>
  <c r="D87" i="18" s="1"/>
  <c r="E71" i="18"/>
  <c r="E87" i="18" s="1"/>
  <c r="G71" i="18"/>
  <c r="G87" i="18" s="1"/>
  <c r="F71" i="18"/>
  <c r="F87" i="18" s="1"/>
  <c r="I64" i="18"/>
  <c r="I56" i="18"/>
  <c r="I75" i="18"/>
  <c r="C71" i="18"/>
  <c r="C85" i="18"/>
  <c r="D43" i="6"/>
  <c r="D38" i="6"/>
  <c r="D31" i="6"/>
  <c r="D25" i="6"/>
  <c r="D6" i="6"/>
  <c r="E12" i="8"/>
  <c r="E4" i="8"/>
  <c r="E3" i="8" s="1"/>
  <c r="E31" i="8" s="1"/>
  <c r="E15" i="3"/>
  <c r="E3" i="3"/>
  <c r="E7" i="7"/>
  <c r="L64" i="4" s="1"/>
  <c r="E3" i="7"/>
  <c r="L62" i="4" l="1"/>
  <c r="E122" i="4"/>
  <c r="C87" i="18"/>
  <c r="D16" i="4"/>
  <c r="E30" i="8"/>
  <c r="I85" i="18"/>
  <c r="I71" i="18"/>
  <c r="D19" i="11"/>
  <c r="E25" i="3"/>
  <c r="L80" i="4" s="1"/>
  <c r="E16" i="7"/>
  <c r="L66" i="4" s="1"/>
  <c r="D53" i="6"/>
  <c r="D36" i="6"/>
  <c r="E21" i="7" l="1"/>
  <c r="D9" i="56"/>
  <c r="C9" i="56"/>
  <c r="E26" i="7" l="1"/>
  <c r="E29" i="7" s="1"/>
  <c r="E31" i="7" s="1"/>
  <c r="C6" i="6"/>
  <c r="D5" i="6" l="1"/>
  <c r="D54" i="6" s="1"/>
  <c r="D58" i="6" s="1"/>
  <c r="D55" i="6" s="1"/>
  <c r="L75" i="4"/>
  <c r="E38" i="7"/>
  <c r="E37" i="7"/>
  <c r="E41" i="7"/>
  <c r="E40" i="7"/>
  <c r="E3" i="53"/>
  <c r="E34" i="7"/>
  <c r="L78" i="4" s="1"/>
  <c r="E13" i="53" l="1"/>
  <c r="E15" i="53" s="1"/>
  <c r="K20" i="9" l="1"/>
  <c r="C25" i="59" l="1"/>
  <c r="C26" i="59" l="1"/>
  <c r="C6" i="35" l="1"/>
  <c r="C18" i="35" s="1"/>
  <c r="B6" i="35"/>
  <c r="B18" i="35" s="1"/>
  <c r="D35" i="50"/>
  <c r="D25" i="50"/>
  <c r="D20" i="50"/>
  <c r="E36" i="18"/>
  <c r="D30" i="50" l="1"/>
  <c r="C8" i="36"/>
  <c r="F8" i="9"/>
  <c r="F23" i="9" s="1"/>
  <c r="D37" i="50" l="1"/>
  <c r="C19" i="50"/>
  <c r="C13" i="47"/>
  <c r="B36" i="36" l="1"/>
  <c r="B43" i="36" l="1"/>
  <c r="B58" i="36"/>
  <c r="B48" i="36"/>
  <c r="B26" i="36"/>
  <c r="G18" i="18"/>
  <c r="B11" i="36"/>
  <c r="B20" i="64"/>
  <c r="C20" i="64" s="1"/>
  <c r="B33" i="59"/>
  <c r="B25" i="59"/>
  <c r="B26" i="59" s="1"/>
  <c r="C72" i="22"/>
  <c r="C73" i="22" s="1"/>
  <c r="B72" i="22"/>
  <c r="B73" i="22" s="1"/>
  <c r="C35" i="22"/>
  <c r="C36" i="22" s="1"/>
  <c r="B35" i="22"/>
  <c r="B36" i="22" s="1"/>
  <c r="B21" i="35"/>
  <c r="B13" i="35"/>
  <c r="D14" i="31"/>
  <c r="D25" i="31"/>
  <c r="D18" i="31"/>
  <c r="D29" i="31" s="1"/>
  <c r="D5" i="31"/>
  <c r="B4" i="36"/>
  <c r="B10" i="36"/>
  <c r="B16" i="36"/>
  <c r="B69" i="36"/>
  <c r="C5" i="31"/>
  <c r="C14" i="31"/>
  <c r="C18" i="31"/>
  <c r="C25" i="31"/>
  <c r="B5" i="34"/>
  <c r="C5" i="34"/>
  <c r="B6" i="34"/>
  <c r="C6" i="34"/>
  <c r="B7" i="34"/>
  <c r="C7" i="34"/>
  <c r="B8" i="34"/>
  <c r="C8" i="34"/>
  <c r="B12" i="23"/>
  <c r="C12" i="23"/>
  <c r="B44" i="23"/>
  <c r="C44" i="23"/>
  <c r="D67" i="23"/>
  <c r="D68" i="23"/>
  <c r="C6" i="50"/>
  <c r="D6" i="50"/>
  <c r="D14" i="50"/>
  <c r="C18" i="50"/>
  <c r="D18" i="50"/>
  <c r="C20" i="50"/>
  <c r="C25" i="50"/>
  <c r="B40" i="50"/>
  <c r="E45" i="50"/>
  <c r="F45" i="50"/>
  <c r="G45" i="50"/>
  <c r="H45" i="50"/>
  <c r="C6" i="18"/>
  <c r="D6" i="18"/>
  <c r="D9" i="18"/>
  <c r="D10" i="18" s="1"/>
  <c r="C18" i="18"/>
  <c r="D18" i="18"/>
  <c r="F18" i="18"/>
  <c r="E18" i="18"/>
  <c r="C26" i="18"/>
  <c r="D26" i="18"/>
  <c r="F26" i="18"/>
  <c r="G26" i="18"/>
  <c r="F37" i="18"/>
  <c r="F41" i="18"/>
  <c r="C37" i="18"/>
  <c r="D37" i="18"/>
  <c r="G37" i="18"/>
  <c r="C41" i="18"/>
  <c r="I41" i="18" s="1"/>
  <c r="D41" i="18"/>
  <c r="E41" i="18"/>
  <c r="E46" i="18" s="1"/>
  <c r="G41" i="18"/>
  <c r="I44" i="18"/>
  <c r="C34" i="18"/>
  <c r="C5" i="14"/>
  <c r="D5" i="14"/>
  <c r="C7" i="14"/>
  <c r="D7" i="14"/>
  <c r="C9" i="14"/>
  <c r="D9" i="14"/>
  <c r="C16" i="14"/>
  <c r="D16" i="14"/>
  <c r="C18" i="14"/>
  <c r="C22" i="14" s="1"/>
  <c r="D18" i="14"/>
  <c r="D22" i="14" s="1"/>
  <c r="C3" i="6"/>
  <c r="D3" i="6"/>
  <c r="C25" i="6"/>
  <c r="C31" i="6"/>
  <c r="C38" i="6"/>
  <c r="C43" i="6"/>
  <c r="D26" i="64"/>
  <c r="E26" i="64" s="1"/>
  <c r="I6" i="9"/>
  <c r="K6" i="9" s="1"/>
  <c r="I7" i="9"/>
  <c r="K7" i="9" s="1"/>
  <c r="H8" i="9"/>
  <c r="H23" i="9" s="1"/>
  <c r="I9" i="9"/>
  <c r="K9" i="9" s="1"/>
  <c r="K12" i="9"/>
  <c r="K17" i="9"/>
  <c r="K18" i="9"/>
  <c r="K19" i="9"/>
  <c r="K21" i="9"/>
  <c r="D8" i="9"/>
  <c r="D23" i="9" s="1"/>
  <c r="J5" i="9"/>
  <c r="J8" i="9" s="1"/>
  <c r="J23" i="9" s="1"/>
  <c r="D4" i="8"/>
  <c r="D3" i="8" s="1"/>
  <c r="D31" i="8" s="1"/>
  <c r="D12" i="8"/>
  <c r="L45" i="4" s="1"/>
  <c r="D3" i="3"/>
  <c r="D15" i="3"/>
  <c r="B17" i="64" s="1"/>
  <c r="C17" i="64" s="1"/>
  <c r="D17" i="64"/>
  <c r="E17" i="64" s="1"/>
  <c r="D2" i="53"/>
  <c r="D2" i="7"/>
  <c r="D3" i="7"/>
  <c r="D7" i="7"/>
  <c r="L26" i="4" s="1"/>
  <c r="B4" i="64"/>
  <c r="D4" i="64"/>
  <c r="E16" i="2"/>
  <c r="D7" i="64"/>
  <c r="E7" i="64" s="1"/>
  <c r="E12" i="64"/>
  <c r="D19" i="64"/>
  <c r="E19" i="64" s="1"/>
  <c r="C32" i="50"/>
  <c r="C35" i="50" s="1"/>
  <c r="D20" i="64"/>
  <c r="E20" i="64" s="1"/>
  <c r="D16" i="64"/>
  <c r="E16" i="64" s="1"/>
  <c r="L24" i="4" l="1"/>
  <c r="C122" i="4"/>
  <c r="C16" i="4"/>
  <c r="D30" i="8"/>
  <c r="C36" i="18"/>
  <c r="I37" i="18"/>
  <c r="I26" i="18"/>
  <c r="I18" i="18"/>
  <c r="C19" i="11"/>
  <c r="B13" i="47"/>
  <c r="B8" i="64"/>
  <c r="C8" i="64" s="1"/>
  <c r="C53" i="6"/>
  <c r="B26" i="64" s="1"/>
  <c r="C26" i="64" s="1"/>
  <c r="B19" i="64"/>
  <c r="C19" i="64" s="1"/>
  <c r="D25" i="3"/>
  <c r="L42" i="4" s="1"/>
  <c r="B7" i="64"/>
  <c r="C7" i="64" s="1"/>
  <c r="B9" i="34"/>
  <c r="C9" i="34"/>
  <c r="E68" i="23"/>
  <c r="B8" i="36"/>
  <c r="D34" i="18"/>
  <c r="D36" i="18" s="1"/>
  <c r="D46" i="18" s="1"/>
  <c r="C46" i="18"/>
  <c r="C36" i="6"/>
  <c r="D8" i="64"/>
  <c r="E8" i="64" s="1"/>
  <c r="E67" i="23"/>
  <c r="C8" i="9"/>
  <c r="C23" i="9" s="1"/>
  <c r="D9" i="64"/>
  <c r="E9" i="64" s="1"/>
  <c r="B16" i="64"/>
  <c r="C16" i="64" s="1"/>
  <c r="D18" i="64"/>
  <c r="E18" i="64" s="1"/>
  <c r="I5" i="9"/>
  <c r="K5" i="9" s="1"/>
  <c r="B18" i="64"/>
  <c r="B21" i="64" s="1"/>
  <c r="C21" i="64" s="1"/>
  <c r="D25" i="64"/>
  <c r="E25" i="64" s="1"/>
  <c r="F34" i="18"/>
  <c r="F36" i="18" s="1"/>
  <c r="F46" i="18" s="1"/>
  <c r="C12" i="34"/>
  <c r="C14" i="34" s="1"/>
  <c r="D16" i="7"/>
  <c r="L28" i="4" s="1"/>
  <c r="D21" i="7" l="1"/>
  <c r="D26" i="7" s="1"/>
  <c r="L37" i="4" s="1"/>
  <c r="C15" i="34"/>
  <c r="C16" i="34" s="1"/>
  <c r="B25" i="64"/>
  <c r="C25" i="64" s="1"/>
  <c r="C15" i="18"/>
  <c r="G34" i="18"/>
  <c r="G36" i="18" s="1"/>
  <c r="G46" i="18" s="1"/>
  <c r="E8" i="9"/>
  <c r="E23" i="9" s="1"/>
  <c r="D21" i="64"/>
  <c r="E21" i="64" s="1"/>
  <c r="B12" i="34"/>
  <c r="B14" i="34" s="1"/>
  <c r="B15" i="34" s="1"/>
  <c r="B16" i="34" s="1"/>
  <c r="C30" i="50"/>
  <c r="C37" i="50" s="1"/>
  <c r="C38" i="50" s="1"/>
  <c r="D38" i="50"/>
  <c r="D10" i="64"/>
  <c r="E10" i="64" s="1"/>
  <c r="G8" i="9"/>
  <c r="G23" i="9" s="1"/>
  <c r="C18" i="64"/>
  <c r="D24" i="64"/>
  <c r="E24" i="64" s="1"/>
  <c r="D15" i="18"/>
  <c r="D17" i="18" s="1"/>
  <c r="D33" i="18" s="1"/>
  <c r="I36" i="18" l="1"/>
  <c r="C17" i="18"/>
  <c r="I34" i="18"/>
  <c r="B9" i="64"/>
  <c r="C9" i="64" s="1"/>
  <c r="I46" i="18"/>
  <c r="E15" i="18"/>
  <c r="E17" i="18" s="1"/>
  <c r="E33" i="18" s="1"/>
  <c r="E48" i="18" s="1"/>
  <c r="G15" i="18"/>
  <c r="I8" i="9"/>
  <c r="I23" i="9" s="1"/>
  <c r="D6" i="14"/>
  <c r="D8" i="14" s="1"/>
  <c r="D13" i="14" s="1"/>
  <c r="F15" i="18"/>
  <c r="D48" i="18"/>
  <c r="B10" i="64" l="1"/>
  <c r="C10" i="64" s="1"/>
  <c r="C5" i="6"/>
  <c r="C54" i="6" s="1"/>
  <c r="C58" i="6" s="1"/>
  <c r="C55" i="6" s="1"/>
  <c r="D29" i="7"/>
  <c r="D31" i="7" s="1"/>
  <c r="C33" i="18"/>
  <c r="C48" i="18" s="1"/>
  <c r="F17" i="18"/>
  <c r="F33" i="18" s="1"/>
  <c r="G17" i="18"/>
  <c r="G33" i="18" s="1"/>
  <c r="G48" i="18" s="1"/>
  <c r="I15" i="18"/>
  <c r="K8" i="9"/>
  <c r="K23" i="9" s="1"/>
  <c r="D11" i="64"/>
  <c r="D40" i="7" l="1"/>
  <c r="D38" i="7"/>
  <c r="D37" i="7"/>
  <c r="D41" i="7"/>
  <c r="B11" i="64"/>
  <c r="B13" i="64" s="1"/>
  <c r="C13" i="64" s="1"/>
  <c r="C6" i="14"/>
  <c r="C8" i="14" s="1"/>
  <c r="C13" i="14" s="1"/>
  <c r="D34" i="7"/>
  <c r="L40" i="4" s="1"/>
  <c r="B24" i="64"/>
  <c r="C24" i="64" s="1"/>
  <c r="D3" i="53"/>
  <c r="I33" i="18"/>
  <c r="F48" i="18"/>
  <c r="I17" i="18"/>
  <c r="D13" i="64"/>
  <c r="E13" i="64" s="1"/>
  <c r="E11" i="64"/>
  <c r="C9" i="18" l="1"/>
  <c r="C10" i="18" s="1"/>
  <c r="I48" i="18"/>
  <c r="C11" i="64"/>
  <c r="D13" i="53"/>
  <c r="D15" i="53" s="1"/>
  <c r="C14" i="50"/>
  <c r="D37" i="31"/>
  <c r="I87" i="18"/>
  <c r="J87" i="18" s="1"/>
  <c r="B86" i="27" l="1"/>
  <c r="B90" i="27" s="1"/>
  <c r="B88" i="27"/>
  <c r="B92" i="27" s="1"/>
  <c r="B93" i="27" s="1"/>
  <c r="K82" i="4"/>
  <c r="K83" i="4"/>
  <c r="L83" i="4" s="1"/>
</calcChain>
</file>

<file path=xl/comments1.xml><?xml version="1.0" encoding="utf-8"?>
<comments xmlns="http://schemas.openxmlformats.org/spreadsheetml/2006/main">
  <authors>
    <author>Sare_10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Sare_10:</t>
        </r>
        <r>
          <rPr>
            <sz val="9"/>
            <color indexed="81"/>
            <rFont val="Tahoma"/>
            <family val="2"/>
            <charset val="238"/>
          </rPr>
          <t xml:space="preserve">
Sprzedaż wyłączona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  <charset val="238"/>
          </rPr>
          <t>Sare_10:</t>
        </r>
        <r>
          <rPr>
            <sz val="9"/>
            <color indexed="81"/>
            <rFont val="Tahoma"/>
            <family val="2"/>
            <charset val="238"/>
          </rPr>
          <t xml:space="preserve">
Sprzedaż wyłączona
</t>
        </r>
      </text>
    </comment>
  </commentList>
</comments>
</file>

<file path=xl/sharedStrings.xml><?xml version="1.0" encoding="utf-8"?>
<sst xmlns="http://schemas.openxmlformats.org/spreadsheetml/2006/main" count="1925" uniqueCount="1091">
  <si>
    <t>X</t>
  </si>
  <si>
    <t>Liczba pracowników przyjętych</t>
  </si>
  <si>
    <t>Liczba pracowników zwolnionych</t>
  </si>
  <si>
    <t>Przeciętne zatrudnienie:</t>
  </si>
  <si>
    <t>Kapitał zapasowy</t>
  </si>
  <si>
    <t>Rzeczowe aktywa trwałe - struktura własnościowa</t>
  </si>
  <si>
    <t>Okres</t>
  </si>
  <si>
    <t>Wartości niematerialne</t>
  </si>
  <si>
    <t>Podział zysku netto</t>
  </si>
  <si>
    <t>Działalność kontynuowana</t>
  </si>
  <si>
    <t>Krótkoterminowe świadczenia pracownicze (wynagrodzenia i narzuty)</t>
  </si>
  <si>
    <t>Nagrody jubileuszowe</t>
  </si>
  <si>
    <t>Świadczenia po okresie zatrudnienia</t>
  </si>
  <si>
    <t>Świadczenia z tytułu rozwiązania stosunku pracy</t>
  </si>
  <si>
    <t xml:space="preserve">Świadczenia pracownicze w formie akcji własnych </t>
  </si>
  <si>
    <t>PLN</t>
  </si>
  <si>
    <t>EUR</t>
  </si>
  <si>
    <t>USD</t>
  </si>
  <si>
    <t>Rezerwy na nagrody jubileuszowe</t>
  </si>
  <si>
    <t>Rezerwy na urlopy wypoczynkowe</t>
  </si>
  <si>
    <t>Rezerwy na pozostałe świadczenia</t>
  </si>
  <si>
    <t>Razem, w tym:</t>
  </si>
  <si>
    <t>Rezerwy na pozostałe świadczenia pracownicze</t>
  </si>
  <si>
    <t>Utworzenie rezerwy</t>
  </si>
  <si>
    <t>Świadczenia wypłacane Członkom Zarządu</t>
  </si>
  <si>
    <t xml:space="preserve"> Razem </t>
  </si>
  <si>
    <t>Rotacja zatrudnienia:</t>
  </si>
  <si>
    <t>Razem</t>
  </si>
  <si>
    <t>Dodatnie różnice kursowe</t>
  </si>
  <si>
    <t>Ujemne różnice kursowe</t>
  </si>
  <si>
    <t>Amortyzacja</t>
  </si>
  <si>
    <t>Zużycie materiałów i energii</t>
  </si>
  <si>
    <t>Usługi obce</t>
  </si>
  <si>
    <t>Podatki i opłaty</t>
  </si>
  <si>
    <t>Pozostałe koszty rodzajowe</t>
  </si>
  <si>
    <t>Wartość sprzedanych towarów i materiałów</t>
  </si>
  <si>
    <t>Zmiana stanu produktów</t>
  </si>
  <si>
    <t>Amortyzacja środków trwałych</t>
  </si>
  <si>
    <t>Amortyzacja wartości niematerialnych</t>
  </si>
  <si>
    <t>Wynagrodzenia</t>
  </si>
  <si>
    <t>Bieżący podatek dochodowy</t>
  </si>
  <si>
    <t>Odroczony podatek dochodowy</t>
  </si>
  <si>
    <t>Związany z powstaniem i odwróceniem się różnic przejściowych</t>
  </si>
  <si>
    <t>Obciążenie podatkowe wykazane w skonsolidowanym rachunku zysków i strat</t>
  </si>
  <si>
    <t>Przyspieszona amortyzacja podatkowa</t>
  </si>
  <si>
    <t>Przeszacowanie kontraktów walutowych (zabezpieczenia przepływów pieniężnych) do wartości godziwej</t>
  </si>
  <si>
    <t xml:space="preserve">Wartości niematerialne </t>
  </si>
  <si>
    <t>Rzeczowe aktywa trwałe</t>
  </si>
  <si>
    <t>Kredyty i pożyczki</t>
  </si>
  <si>
    <t>amortyzacja wartości niematerialnych</t>
  </si>
  <si>
    <t>amortyzacja rzeczowych aktywów trwałych</t>
  </si>
  <si>
    <t>amortyzacja nieruchomości inwestycyjnych</t>
  </si>
  <si>
    <t>bilansowa zmiana stanu zapasów</t>
  </si>
  <si>
    <t>wartość zapasów przejęta w wyniku objęcia kontroli (stan zapasów jednostki zależnej na dzień objęcia kontroli ze znakiem "-")</t>
  </si>
  <si>
    <t>wartość zapasów wyłączona w wyniku utraty kontroli (stan zapasów jednostki zależnej na dzień utraty kontroli ze znakiem "+")</t>
  </si>
  <si>
    <t>bilansowa zmiana stanu rezerw na świadczenia pracownicze</t>
  </si>
  <si>
    <t>wartość rezerw przejęta w wyniku objęcia kontroli (stan rezerw jednostki zależnej na dzień objęcia kontroli ze znakiem "-")</t>
  </si>
  <si>
    <t>wartość rezerw wyłączona w wyniku utraty kontroli (stan rezerw jednostki zależnej na dzień utraty kontroli ze znakiem "+")</t>
  </si>
  <si>
    <t>stan należności przejęty w wyniku objęcia kontroli (stan należności jednostki zależnej na dzień objęcia kontroli ze znakiem "-")</t>
  </si>
  <si>
    <t>stan należności wyłączony w wyniku utraty kontroli (stan należności jednostki zależnej na dzień utraty kontroli ze znakiem "+")</t>
  </si>
  <si>
    <t>Minus środki pieniężne i ich ekwiwalenty</t>
  </si>
  <si>
    <t>Zadłużenie netto</t>
  </si>
  <si>
    <t>Kapitał własny</t>
  </si>
  <si>
    <t>Kapitały rezerwowe z tytułu niezrealizowanych zysków netto</t>
  </si>
  <si>
    <t>Kapitał razem</t>
  </si>
  <si>
    <t>Kapitał i zadłużenie netto</t>
  </si>
  <si>
    <t>Wskaźnik dźwigni</t>
  </si>
  <si>
    <t>Tytuł zobowiązania</t>
  </si>
  <si>
    <t>Suma</t>
  </si>
  <si>
    <t>Administracja</t>
  </si>
  <si>
    <t>Dział sprzedaży</t>
  </si>
  <si>
    <t>Pozostali</t>
  </si>
  <si>
    <t>Data przejęcia</t>
  </si>
  <si>
    <t>Procent przejętych instrumentów kapitałowych z prawem głosu</t>
  </si>
  <si>
    <t>Koszt połączenia jednostek gospodarczych</t>
  </si>
  <si>
    <t>Wartość godziwa aktywów netto jednostki przejmowanej przypadająca na jednostkę przejmującą</t>
  </si>
  <si>
    <t>Wartość ogółem</t>
  </si>
  <si>
    <t>Akcjonariusz</t>
  </si>
  <si>
    <t>Rodzaj
uprzywilejo-
wania akcji</t>
  </si>
  <si>
    <t>Rodzaj
ograniczenia
praw do akcji</t>
  </si>
  <si>
    <t>Wartość
serii / emisji
wg wartości
nominalnej</t>
  </si>
  <si>
    <t xml:space="preserve">Sposób
pokrycia
kapitału </t>
  </si>
  <si>
    <t>% kapitału akcyjnego</t>
  </si>
  <si>
    <t xml:space="preserve">Liczba głosów </t>
  </si>
  <si>
    <t>% głosów</t>
  </si>
  <si>
    <t>Pożyczki</t>
  </si>
  <si>
    <t>- długoterminowe</t>
  </si>
  <si>
    <t>- krótkoterminowe</t>
  </si>
  <si>
    <t>x</t>
  </si>
  <si>
    <t>Kredyty i pożyczki razem</t>
  </si>
  <si>
    <t>wartość
w walucie</t>
  </si>
  <si>
    <t>wartość 
w PLN</t>
  </si>
  <si>
    <t>Kredyty i pożyczki struktura walutowa:</t>
  </si>
  <si>
    <t>Zmiana stanu rezerw wynika z następujących pozycji:</t>
  </si>
  <si>
    <t>Zmiana stanu zapasów wynika z następujących pozycji:</t>
  </si>
  <si>
    <t>Należności handlowe brutto</t>
  </si>
  <si>
    <t>- od jednostek powiazanych</t>
  </si>
  <si>
    <t>- od pozostałych jednostek</t>
  </si>
  <si>
    <t>Pozostałe należności brutto</t>
  </si>
  <si>
    <t>Zmniejszenia w tym:</t>
  </si>
  <si>
    <t>Zmniejszenia, z tytułu:</t>
  </si>
  <si>
    <t>Zwiększenia, z tytułu:</t>
  </si>
  <si>
    <t>Wartość bilansowa brutto na początek okresu</t>
  </si>
  <si>
    <t>Wartość bilansowa brutto na koniec okresu</t>
  </si>
  <si>
    <t>Odpisy aktualizujące z tytułu utraty wartości na początek okresu</t>
  </si>
  <si>
    <t>Odpisy aktualizujące z tytułu utraty wartości na koniec okresu</t>
  </si>
  <si>
    <t>Zwiększenia, w tym:</t>
  </si>
  <si>
    <t>Koszt wytworzenia sprzedanych produktów i usług</t>
  </si>
  <si>
    <t>Aktywa trwałe, inne niż instrumenty finansowe</t>
  </si>
  <si>
    <t>Przychody ze sprzedaży usług</t>
  </si>
  <si>
    <t>Przychody ze sprzedaży produktów</t>
  </si>
  <si>
    <t>Przychody ze sprzedaży towarów i materiałów</t>
  </si>
  <si>
    <t>Zysk (strata) netto na jedną akcję (w zł)</t>
  </si>
  <si>
    <t>Pozostałe aktywa finansowe</t>
  </si>
  <si>
    <t xml:space="preserve">Pozostałe należności </t>
  </si>
  <si>
    <t>Niepodzielony wynik finansowy</t>
  </si>
  <si>
    <t>Wynik finansowy bieżącego okresu</t>
  </si>
  <si>
    <r>
      <t xml:space="preserve">Świadczenia </t>
    </r>
    <r>
      <rPr>
        <b/>
        <sz val="8"/>
        <rFont val="Arial"/>
        <family val="2"/>
        <charset val="238"/>
      </rPr>
      <t>wypłacone lub należne pozostałym członkom głównej kadry kierowniczej</t>
    </r>
  </si>
  <si>
    <t>Środki pieniężne kasie i na rachunkach bankowych:</t>
  </si>
  <si>
    <t>Dotacje</t>
  </si>
  <si>
    <t>Nieruchomości inwestycyjne</t>
  </si>
  <si>
    <t xml:space="preserve">Skonsolidowany rachunek przepływów pieniężnych </t>
  </si>
  <si>
    <t>SKONSOLIDOWANY RACHUNEK ZYSKÓW I STRAT</t>
  </si>
  <si>
    <t>Zestawienie zmian w skosolidowanym kapitale własnym</t>
  </si>
  <si>
    <t>Przychody netto ze sprzedażyproduktów, towarów i materiałów</t>
  </si>
  <si>
    <t>Koszt własny sprzedaży</t>
  </si>
  <si>
    <t>Zysk (strata) brutto</t>
  </si>
  <si>
    <t>Zysk (strata) netto</t>
  </si>
  <si>
    <t>Liczba udziałów/akcji w sztukach</t>
  </si>
  <si>
    <t>Wartość księgowa na akcję (zł/euro)</t>
  </si>
  <si>
    <t>Zysk (strata) netto na akcję zwykłą (zł/euro)</t>
  </si>
  <si>
    <t>Wartość księgowa na akcję</t>
  </si>
  <si>
    <t>Zysk (strata) netto na jedną akcję z działalności kontynuowanej (w zł)</t>
  </si>
  <si>
    <t>Zysk (strata) netto podmiotu dominującego</t>
  </si>
  <si>
    <t>Podstawowy za okres obrotowy</t>
  </si>
  <si>
    <t>Rozwodniony za okres obrotowy</t>
  </si>
  <si>
    <t>Pozostałe zobowiązania finansowe</t>
  </si>
  <si>
    <t>Rezerwy z tytułu odroczonego podatku dochodowego</t>
  </si>
  <si>
    <t>Emisja akcji</t>
  </si>
  <si>
    <t xml:space="preserve">Inne, niż wpłaty na rzecz właścicieli, wydatki z tytułu podziału zysku </t>
  </si>
  <si>
    <t>Sprzedaż towarów i materiałów</t>
  </si>
  <si>
    <t xml:space="preserve">Sprzedaż produktów </t>
  </si>
  <si>
    <t>Sprzedaż usług</t>
  </si>
  <si>
    <t>SUMA przychodów ze sprzedaży</t>
  </si>
  <si>
    <t>Jednostka dominujaca</t>
  </si>
  <si>
    <t>Podmiot powiązany</t>
  </si>
  <si>
    <t>Sprzedaż na rzecz podmiotów powiązanych</t>
  </si>
  <si>
    <t>Zakupy od podmiotów powiązanych</t>
  </si>
  <si>
    <t>Wartości niematerialne - struktura własnościowa</t>
  </si>
  <si>
    <t>Wartości niematerialne - ograniczenie w dysponowaniu</t>
  </si>
  <si>
    <t>Wartość bilansowa wartości niematerialnych podlegających ograniczeniu w dysponowaniu lub stanowiących zabezpieczenie</t>
  </si>
  <si>
    <t>Wartość firmy (netto)</t>
  </si>
  <si>
    <t>Wartość firmy przejęta w ramach połączenia jednostek gospodarczych</t>
  </si>
  <si>
    <t>Nadwyżka udziału jednostki przejmującej w wartości godziwej aktywów netto nad kosztem połączenia*</t>
  </si>
  <si>
    <t>- połączenia jednostek gospodarczych</t>
  </si>
  <si>
    <t>Nazwa spółki, forma prawna, miejscowość, w której mieści się siedziba zarządu</t>
  </si>
  <si>
    <t>- nabycia środków trwałych</t>
  </si>
  <si>
    <t>- wytworzenia we własnym zakresie środków trwałych</t>
  </si>
  <si>
    <t>- zawartych umów leasingu</t>
  </si>
  <si>
    <t>- przeszacowania</t>
  </si>
  <si>
    <t>- likwidacji</t>
  </si>
  <si>
    <t xml:space="preserve">- sprzedaży spółki zależnej </t>
  </si>
  <si>
    <t>-  wniesienia aportu</t>
  </si>
  <si>
    <t>- amortyzacji</t>
  </si>
  <si>
    <t>- sprzedaży</t>
  </si>
  <si>
    <t>Różnice kursowe netto z przeliczenia sprawozdania finansowego na walutę prezentacji</t>
  </si>
  <si>
    <r>
      <t>Koszty prac rozwojowych</t>
    </r>
    <r>
      <rPr>
        <b/>
        <vertAlign val="superscript"/>
        <sz val="8"/>
        <color indexed="8"/>
        <rFont val="Arial"/>
        <family val="2"/>
        <charset val="238"/>
      </rPr>
      <t>1</t>
    </r>
  </si>
  <si>
    <r>
      <t>Znaki towarowe</t>
    </r>
    <r>
      <rPr>
        <b/>
        <vertAlign val="superscript"/>
        <sz val="8"/>
        <rFont val="Arial"/>
        <family val="2"/>
        <charset val="238"/>
      </rPr>
      <t>2</t>
    </r>
  </si>
  <si>
    <r>
      <t>Patenty i licencje</t>
    </r>
    <r>
      <rPr>
        <b/>
        <vertAlign val="superscript"/>
        <sz val="8"/>
        <color indexed="8"/>
        <rFont val="Arial"/>
        <family val="2"/>
        <charset val="238"/>
      </rPr>
      <t>2</t>
    </r>
  </si>
  <si>
    <r>
      <t>Oprogramowanie komputerowe</t>
    </r>
    <r>
      <rPr>
        <b/>
        <vertAlign val="superscript"/>
        <sz val="8"/>
        <rFont val="Arial"/>
        <family val="2"/>
        <charset val="238"/>
      </rPr>
      <t>2</t>
    </r>
  </si>
  <si>
    <t>Zmniejszenia stanu z tytułu spadku udziału wskutek rozwodnienia</t>
  </si>
  <si>
    <t xml:space="preserve"> </t>
  </si>
  <si>
    <t>Akcje/ Udziały w spółkach nienotowanych na giełdzie (nie objęte konsolidacją)</t>
  </si>
  <si>
    <t>Akcje spółek notowanych na giełdzie (nie objęte konsolidacją)</t>
  </si>
  <si>
    <t>Inwestycje długoterminowe</t>
  </si>
  <si>
    <t>Powody nie objęcia konsolidacją</t>
  </si>
  <si>
    <t>- z tytułu podatków, z wyjątkiem podatku dochodowego od osób prawnych</t>
  </si>
  <si>
    <t>Inwestycje krótkoterminowe</t>
  </si>
  <si>
    <t>Czynne rozliczenia międzyokresowe kosztów</t>
  </si>
  <si>
    <t>Akcje własne (-)</t>
  </si>
  <si>
    <t>Na początek okresu</t>
  </si>
  <si>
    <t>Dywidendy wypłacone przez jednostki zależne</t>
  </si>
  <si>
    <t>Nabycie spółki</t>
  </si>
  <si>
    <t>Zmiany w strukturze udziałowców w jednostkach zależnych</t>
  </si>
  <si>
    <t>Udział w wyniku jednostek zależnych</t>
  </si>
  <si>
    <t>Na koniec okresu</t>
  </si>
  <si>
    <t>Zobowiązania z tytułu pozostałych podatków, ceł, ubezpieczeń społecznych i innych, z wyjątkiem podatku dochodowego od osób prawnych</t>
  </si>
  <si>
    <t>Odpisy aktualizujące</t>
  </si>
  <si>
    <t>- wykorzystanie odpisów aktualizujących</t>
  </si>
  <si>
    <t>- rozwiązanie odpisów aktualizujących w związku ze spłatą należności</t>
  </si>
  <si>
    <t>- zakończenie postępowań</t>
  </si>
  <si>
    <t>- dokonanie odpisów na należności przeterminowane i sporne</t>
  </si>
  <si>
    <t>- dowiązanie odpisów w związku z umorzeniem układu</t>
  </si>
  <si>
    <t>Zmiany stanu odpisów aktualizujących wartość należności handlowych</t>
  </si>
  <si>
    <t>Pozostałe należności, w tym:</t>
  </si>
  <si>
    <t>- z tytułu ceł</t>
  </si>
  <si>
    <t>- z tytułu ubezpieczeń</t>
  </si>
  <si>
    <t>- zaliczki na dostawy</t>
  </si>
  <si>
    <t>Pozostałe rozliczenia międzyokresowe</t>
  </si>
  <si>
    <t>Kapitał zakładowy struktura cd:</t>
  </si>
  <si>
    <t>Zmiany kapitału zakładowego:</t>
  </si>
  <si>
    <t>Kapitał zakładowy na początek okresu</t>
  </si>
  <si>
    <t>Kapitał zakładowy na koniec okresu</t>
  </si>
  <si>
    <t xml:space="preserve">Razem pozostałe zobowiązania </t>
  </si>
  <si>
    <t xml:space="preserve">Zysk (strata) netto </t>
  </si>
  <si>
    <t>Polska</t>
  </si>
  <si>
    <t>Przychody ze sprzedaży - szczegółowa struktura geograficzna</t>
  </si>
  <si>
    <t>w %</t>
  </si>
  <si>
    <t>Kraj</t>
  </si>
  <si>
    <t>Eksport, w tym:</t>
  </si>
  <si>
    <t xml:space="preserve">Unia Europejska </t>
  </si>
  <si>
    <t>w tys. PLN</t>
  </si>
  <si>
    <t xml:space="preserve">Wynagrodzenia </t>
  </si>
  <si>
    <t>Ubezpieczenia społeczne i inne świadczenia</t>
  </si>
  <si>
    <t>Koszt wytworzenia produktów na własne potrzeby jednostki (wielkość ujemna)</t>
  </si>
  <si>
    <t>Koszty sprzedaży (wielkość ujemna)</t>
  </si>
  <si>
    <t>Koszty ogólnego zarządu (wielkość ujemna)</t>
  </si>
  <si>
    <t>Inwestycje w jednostkach powiązanych wycenianych metodą praw własności</t>
  </si>
  <si>
    <t>Inne zobowiązania długoterminowe</t>
  </si>
  <si>
    <t>SUMA przychodów ogółem z działalności kontynuowanej</t>
  </si>
  <si>
    <t xml:space="preserve">SUMA przychodów ogółem </t>
  </si>
  <si>
    <t>Zysk ze zbycia majątku trwałego</t>
  </si>
  <si>
    <t>Strata ze zbycia majątku trwałego</t>
  </si>
  <si>
    <t>Dotyczący roku obrotowego</t>
  </si>
  <si>
    <t>Korekty dotyczące lat ubiegłych</t>
  </si>
  <si>
    <t>zwiększenia</t>
  </si>
  <si>
    <t>zmniejszenia</t>
  </si>
  <si>
    <t>Suma ujemnych różnic przejściowych</t>
  </si>
  <si>
    <t>stawka podatkowa</t>
  </si>
  <si>
    <t>Aktywa z tytułu odroczonego podatku</t>
  </si>
  <si>
    <t>Suma dodatnich różnic przejściowych</t>
  </si>
  <si>
    <t>Rezerwa z tytułu podatku odroczonego na koniec okresu:</t>
  </si>
  <si>
    <t>Wartości niematerialne w budowie</t>
  </si>
  <si>
    <t>Kwoty zobowiązań umownych do nabycia w przyszłości wartości niematerialnych</t>
  </si>
  <si>
    <t xml:space="preserve"> Należności leasingowe długoterminowe</t>
  </si>
  <si>
    <t xml:space="preserve"> Należności długoterminowe pozostałe</t>
  </si>
  <si>
    <t xml:space="preserve"> Należności leasingowe krótkoterminowe</t>
  </si>
  <si>
    <t>91-180</t>
  </si>
  <si>
    <t>Jednostki powiązane</t>
  </si>
  <si>
    <t>Stan odpisów aktualizujących wartość należności handlowych od jednostek powiązanych na koniec okresu</t>
  </si>
  <si>
    <t>Jednostki pozostałe</t>
  </si>
  <si>
    <t>Stan odpisów aktualizujących wartość należności handlowych od jednostek pozostałych na koniec okresu</t>
  </si>
  <si>
    <t>Stan odpisów aktualizujących wartość należności handlowych ogółem na koniec okresu</t>
  </si>
  <si>
    <t>- z tytułu zbycia aktywów trwałych</t>
  </si>
  <si>
    <t>od jednostek powiązanych</t>
  </si>
  <si>
    <t>od pozostałych jednostek</t>
  </si>
  <si>
    <t xml:space="preserve"> - od Zarządu i Rady Nadzorczej</t>
  </si>
  <si>
    <t>zobowiązania leasingowe</t>
  </si>
  <si>
    <t>zobowiązania wyceniane w wartości godziwej przez wynik finansowy</t>
  </si>
  <si>
    <t xml:space="preserve">Razem zobowiązania finansowe </t>
  </si>
  <si>
    <t>Uzyskane kary, grzywny i odszkodowania</t>
  </si>
  <si>
    <t>Darowizny</t>
  </si>
  <si>
    <t xml:space="preserve">Pozostałe przychody operacyjne </t>
  </si>
  <si>
    <t xml:space="preserve">Pozostałe koszty operacyjne </t>
  </si>
  <si>
    <t>Zysk netto ze zbycia aktywów i zobowiązań finansowych wycenionych w wartości godziwej przez wynik finansowy</t>
  </si>
  <si>
    <t>Zysk netto ze zbycia aktywów finansowych dostępnych do sprzedaży</t>
  </si>
  <si>
    <t>Dywidendy otrzymane</t>
  </si>
  <si>
    <t xml:space="preserve">Rozwiązanie odpisów aktualizujących </t>
  </si>
  <si>
    <t>Nadwyżka dodatnich różnic kursowych</t>
  </si>
  <si>
    <t>Wycena instrumentów pochodnych</t>
  </si>
  <si>
    <t>Koszty z tytułu odsetek</t>
  </si>
  <si>
    <t>Nadwyżka ujemnych różnic kursowych</t>
  </si>
  <si>
    <t>Zysk przed opodatkowaniem</t>
  </si>
  <si>
    <t>G. Środki pieniężne na koniec okresu</t>
  </si>
  <si>
    <t>Data rejestracji</t>
  </si>
  <si>
    <t>hiperinflacja</t>
  </si>
  <si>
    <t>tytuł</t>
  </si>
  <si>
    <t>Wartość jednostkowa</t>
  </si>
  <si>
    <t>Seria/emisja rodzaj akcji</t>
  </si>
  <si>
    <t>Kapitał z aktualizacji wyceny</t>
  </si>
  <si>
    <t>Pozostały kapitał rezerwowy</t>
  </si>
  <si>
    <t>Kapitał rezerwowy</t>
  </si>
  <si>
    <t>Podatek odroczony z tyt. powyższej korekty</t>
  </si>
  <si>
    <t>Wynik z tytułu zabezpieczeń przepływów pieniężnych</t>
  </si>
  <si>
    <t>Podział/ pokrycie zysku/straty netto</t>
  </si>
  <si>
    <t xml:space="preserve">Zwiększenia w okresie </t>
  </si>
  <si>
    <t xml:space="preserve">Zmniejszenia w okresie </t>
  </si>
  <si>
    <t>Kredyty rachunku bieżącym</t>
  </si>
  <si>
    <t>Kredyty bankowe</t>
  </si>
  <si>
    <t>Suma kredytów i pożyczek, w tym</t>
  </si>
  <si>
    <t>Rezerwy na odprawy emerytalne i rentowe</t>
  </si>
  <si>
    <t>Zysk (strata) netto na jedną akcję z działalności zaniechanej (w zł)</t>
  </si>
  <si>
    <t>Przychody ze sprzedaży</t>
  </si>
  <si>
    <t>Aktywa zaklasyfikowane jako przeznaczone do sprzedaży</t>
  </si>
  <si>
    <t>AKTYWA</t>
  </si>
  <si>
    <t>A. Przepływy pieniężne netto z działalności operacyjnej</t>
  </si>
  <si>
    <t>B. Przepływy pieniężne netto z działalności inwestycyjnej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</si>
  <si>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</si>
  <si>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</si>
  <si>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</si>
  <si>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</si>
  <si>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Związany z obniżeniem stawek podatku dochodowego</t>
  </si>
  <si>
    <t>Rezerwa na pozostałe świadczenia pracownicze</t>
  </si>
  <si>
    <t>Rezerwa na niewykorzystane urlopy</t>
  </si>
  <si>
    <t>Pozostałe rezerwy</t>
  </si>
  <si>
    <t>Odpisy aktualizujące udziały w innych jednostkach</t>
  </si>
  <si>
    <t>NOTA</t>
  </si>
  <si>
    <t>Akcje i udziały w jednostkach podporządkowanych nie objętych konsolidacją</t>
  </si>
  <si>
    <t>Akcje własne (wielkosć ujemna)</t>
  </si>
  <si>
    <t>Sprzedaż klientom zewnętrznym</t>
  </si>
  <si>
    <t>Aktywa z tytułu podatku odroczonego</t>
  </si>
  <si>
    <t>Aktywa z tytułu świadczeń pracowniczych po okresie zatrudnienia</t>
  </si>
  <si>
    <t>Prawa wynikające z umów ubezpieczeniowych</t>
  </si>
  <si>
    <t>Łącznie pozostałe kraje</t>
  </si>
  <si>
    <t>- za badanie rocznego sprawozdania finansowego i skonsolidowanego sprawozdania finansowego</t>
  </si>
  <si>
    <t>Wynagrodzenia i ubezpieczenia społeczne płatne w następnych okresach</t>
  </si>
  <si>
    <t>Zwiększenie stanu z tytułu przejęcia jednostki</t>
  </si>
  <si>
    <t>Inne zmiany wartości bilansowej</t>
  </si>
  <si>
    <t>Odpisy aktualizujące z tytułu utraty wartości ujęte w trakcie okresu</t>
  </si>
  <si>
    <t>Wartość firmy:</t>
  </si>
  <si>
    <t>Oprocentowane kredyty i pożyczki</t>
  </si>
  <si>
    <t>Zamienne akcje uprzywilejowane</t>
  </si>
  <si>
    <t>Zobowiązania z tytułu dostaw i usług oraz pozostałe zobowiązania</t>
  </si>
  <si>
    <t>Zobowiązania krótkoterminowe</t>
  </si>
  <si>
    <t>Zobowiązania długoterminowe</t>
  </si>
  <si>
    <t>Przychody finansowe</t>
  </si>
  <si>
    <t>Wyszczególnienie</t>
  </si>
  <si>
    <t>Pozostałe zmiany</t>
  </si>
  <si>
    <t>Grunty</t>
  </si>
  <si>
    <t>Budynki i   budowle</t>
  </si>
  <si>
    <t>Maszyny
i urządzenia</t>
  </si>
  <si>
    <t>nota</t>
  </si>
  <si>
    <t>Rozliczenia międzyokresowe</t>
  </si>
  <si>
    <t>Aktywa z tytułu odroczonego podatku dochodowego</t>
  </si>
  <si>
    <t>Należności handlowe</t>
  </si>
  <si>
    <t>Środki pieniężne i ich ekwiwalenty</t>
  </si>
  <si>
    <t>AKTYWA  RAZEM</t>
  </si>
  <si>
    <t>w tę kolumnę należy wpisać dane według wzoru</t>
  </si>
  <si>
    <t>wzór</t>
  </si>
  <si>
    <t>Nazwa jednostki:</t>
  </si>
  <si>
    <t>ABC S.A.</t>
  </si>
  <si>
    <t>Adres siedziby:</t>
  </si>
  <si>
    <t>Początek roku:</t>
  </si>
  <si>
    <t>Koniec roku:</t>
  </si>
  <si>
    <t>Kapitał zakładowy</t>
  </si>
  <si>
    <t>Pozostałe kapitały</t>
  </si>
  <si>
    <t>Rezerwa na świadczenia emerytalne i podobne</t>
  </si>
  <si>
    <t>Zobowiązania handlowe</t>
  </si>
  <si>
    <t>PASYWA  RAZEM</t>
  </si>
  <si>
    <t xml:space="preserve">Dane finasnowe sporządzone w </t>
  </si>
  <si>
    <t>Pozostałe przychody operacyjne</t>
  </si>
  <si>
    <t>Pozostałe koszty operacyjne</t>
  </si>
  <si>
    <t>Zysk (strata) na działalności operacyjnej</t>
  </si>
  <si>
    <t>Zysk (strata) netto z działalności kontynuowanej</t>
  </si>
  <si>
    <t>Zysk (strata) z działalności zaniechanej</t>
  </si>
  <si>
    <t>DZIAŁALNOŚĆ OPERACYJNA</t>
  </si>
  <si>
    <t>Korekty razem: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</si>
  <si>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</si>
  <si>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</si>
  <si>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</si>
  <si>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</si>
  <si>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Gotówka z działalności operacyjnej</t>
  </si>
  <si>
    <t>Podatek dochodowy (zapłacony) / zwrócony</t>
  </si>
  <si>
    <t>Przepływy pieniężne netto z działalności operacyjnej</t>
  </si>
  <si>
    <t>DZIAŁALNOŚĆ INWESTYCYJNA</t>
  </si>
  <si>
    <t>Przychody z tytułu odsetek</t>
  </si>
  <si>
    <t>Przepływy pieniężne netto z działalności inwestycyjnej</t>
  </si>
  <si>
    <t>DZIAŁALNOŚĆ FINANSOWA</t>
  </si>
  <si>
    <t>Inne wpływy finansowe</t>
  </si>
  <si>
    <t>Nabycie udziałów (akcji) własnych</t>
  </si>
  <si>
    <t>Wykup dłużnych papierów wartościowych</t>
  </si>
  <si>
    <t>Z tytułu innych zobowiązań finansowych</t>
  </si>
  <si>
    <t>Przepływy pieniężne netto z działalności finansowej</t>
  </si>
  <si>
    <t>- zmiana stanu środków pieniężnych z tytułu różnic kursowych</t>
  </si>
  <si>
    <t>Wpływy</t>
  </si>
  <si>
    <t>Wydatki</t>
  </si>
  <si>
    <t>tys. zł / zł</t>
  </si>
  <si>
    <t>stan zobowiązań operacyjnych przejęty w wyniku objęcia kontroli (stan zobowiązań jednostki zależnej na dzień objęcia kontroli ze znakiem "-")</t>
  </si>
  <si>
    <t>Zmniejszenie stanu z tytułu sprzedaży spółki zależnej</t>
  </si>
  <si>
    <t>Odpisy aktualizujące wartość należności spornych</t>
  </si>
  <si>
    <t>Koszty wypłaconych świadczeń</t>
  </si>
  <si>
    <t>Rozwiązanie rezerwy</t>
  </si>
  <si>
    <t>Wykorzystane</t>
  </si>
  <si>
    <t>Rozwiązane</t>
  </si>
  <si>
    <t>GBP</t>
  </si>
  <si>
    <t>CHF</t>
  </si>
  <si>
    <t>Ogółem</t>
  </si>
  <si>
    <t>krótkoterminowe</t>
  </si>
  <si>
    <t>długoterminowe</t>
  </si>
  <si>
    <t>Środki pieniężne w bilansie</t>
  </si>
  <si>
    <t>Środki pieniężne i ich ekwiwalenty ogółem wykazane w rachunku przepływów pieniężnych</t>
  </si>
  <si>
    <t>Odsetki i udziały w zyskach (dywidendy) składają się z:</t>
  </si>
  <si>
    <t>odsetki zapłacone od udzielonych pożyczek</t>
  </si>
  <si>
    <t>odsetki zapłacone od kredytów</t>
  </si>
  <si>
    <t>odsetki otrzymane</t>
  </si>
  <si>
    <t>odsetki zapłacone od długoterminowych należności</t>
  </si>
  <si>
    <t>odsetki naliczone od udzielonych pożyczek</t>
  </si>
  <si>
    <t>odsetki naliczone od kredytów i pożyczek</t>
  </si>
  <si>
    <t>Zysk (strata) z działalności inwestycyjnej wynika z:</t>
  </si>
  <si>
    <t>Zmiana należności wynika z następujących pozycji:</t>
  </si>
  <si>
    <t>zmiana stanu należności krótkoterminowych wynikająca z bilansu</t>
  </si>
  <si>
    <t>zmiana stanu należności długoterminowych wynikająca z bilansu</t>
  </si>
  <si>
    <t>korekta o zmianę stanu należności z tytułu zbycia rzeczowych aktywów trwałych</t>
  </si>
  <si>
    <t>korekta o zmianę stanu należności z tytułu zbycia inwestycji niefinansowych</t>
  </si>
  <si>
    <t>korekta o zmianę stanu należności z tytułu zbycia inwestycji finansowych</t>
  </si>
  <si>
    <t>zmiana stanu zobowiązań krótkoterminowych wynikająca z bilansu</t>
  </si>
  <si>
    <t>korekta o zmianę stanu zobowiązań z tytułu nabycia rzeczowych aktywów trwałych</t>
  </si>
  <si>
    <t>korekta o zmianę stanu zobowiązań z tytułu nabycia aktywów finansowych</t>
  </si>
  <si>
    <t>Na wartość pozycji "inne korekty" składają się:</t>
  </si>
  <si>
    <t>Wrocław, ul. B.Prusa 5</t>
  </si>
  <si>
    <t>Podatek dochodowy wykazany w RZiS</t>
  </si>
  <si>
    <t>KOSZTY AMORTYZACJI  I ODPISÓW AKTUALIZUJĄCYCH UJĘTE W RZIS</t>
  </si>
  <si>
    <t>Zmiana stanu instrumentów finansowych</t>
  </si>
  <si>
    <t>Różnice kursowe z wyceny bilansowej</t>
  </si>
  <si>
    <t>Aktywa pieniężne kwalifikowane jako ekwiwalenty środków pieniężnych na potrzeby rachunku przepływów pieniężnych</t>
  </si>
  <si>
    <t>1,2</t>
  </si>
  <si>
    <t>Udział w zyskach (stratach) netto jednostek rozliczanych metodą praw własności</t>
  </si>
  <si>
    <t>Należności z tytułu bieżącego podatku dochodowego</t>
  </si>
  <si>
    <t>Kapitały własne akcjonariuszy jednostki dominującej</t>
  </si>
  <si>
    <t>Kapitał zapasowy ze sprzedaży akcji powyżej ceny nominalnej</t>
  </si>
  <si>
    <t xml:space="preserve">Kapitały własne </t>
  </si>
  <si>
    <t xml:space="preserve">Zobowiązania długoterminowe </t>
  </si>
  <si>
    <t>Zobowiązania z tytułu bieżącego podatku dochodowego</t>
  </si>
  <si>
    <t>Kapitał własny akcjonariuszy jednostki dominującej</t>
  </si>
  <si>
    <t>Razem kapitały własne</t>
  </si>
  <si>
    <t>PASYWA</t>
  </si>
  <si>
    <t>Zmiany zasad (polityki) rachunkowości</t>
  </si>
  <si>
    <t>Korekty z tyt. błędów podstawowych</t>
  </si>
  <si>
    <t>Kapitał własny po korektach</t>
  </si>
  <si>
    <t>Koszt emisji akcji</t>
  </si>
  <si>
    <t>Udział w zyskach netto jednostek podporządkowanych wycenianych metodą praw własności</t>
  </si>
  <si>
    <t xml:space="preserve">Ujemne różnice przejściowe będące podstawą do tworzenia aktywa z tytułu podatku odroczonego </t>
  </si>
  <si>
    <t xml:space="preserve">Dodatnie różnice przejściowe będące podstawą do tworzenia rezerwy z tytułu podatku odroczonego </t>
  </si>
  <si>
    <t>Amortyzacja:</t>
  </si>
  <si>
    <t>bilansowa zmiana stanu rezerw na zobowiązania</t>
  </si>
  <si>
    <t>Zmiana stanu zobowiązań krótkoterminowych, z wyjątkiem zobowiązań finansowych, wynika z następujących pozycji:</t>
  </si>
  <si>
    <t>stan zobowiązań operacyjnych wyłączony w wyniku utraty kontroli (stan zobowiązań jednostki zależnej na dzień utraty kontroli ze znakiem "+")</t>
  </si>
  <si>
    <t>2,3</t>
  </si>
  <si>
    <t>4</t>
  </si>
  <si>
    <t>5</t>
  </si>
  <si>
    <t>6</t>
  </si>
  <si>
    <t>7</t>
  </si>
  <si>
    <t>01.01.200X - 31.12.200X</t>
  </si>
  <si>
    <t>31.12.200X</t>
  </si>
  <si>
    <t>01.01.200(X-1) - 31.12.200(X-1)</t>
  </si>
  <si>
    <t>01.01.200(X-1)</t>
  </si>
  <si>
    <t>31.12.200(X-1)</t>
  </si>
  <si>
    <t>Bieżący rok obrotowy:</t>
  </si>
  <si>
    <t>Poprzedni rok obrotowy</t>
  </si>
  <si>
    <t>Pozostałe zobowiązania krótkoterminowe</t>
  </si>
  <si>
    <t xml:space="preserve"> Instrumenty finansowe utrzymywane do terminu wymagalności</t>
  </si>
  <si>
    <t>- nabycia</t>
  </si>
  <si>
    <t>Składki na ubezpieczenie społeczne (ZUS)</t>
  </si>
  <si>
    <t>Akcyza</t>
  </si>
  <si>
    <t>Opłaty celne</t>
  </si>
  <si>
    <t>Bierne rozliczenia międzyokresowe</t>
  </si>
  <si>
    <t>Rozliczenia międzyokresowe przychodów</t>
  </si>
  <si>
    <t>Zysk (strata) przed opodatkowaniem</t>
  </si>
  <si>
    <t>Podatek dochodowy</t>
  </si>
  <si>
    <t>Odpisy aktualizujące należności</t>
  </si>
  <si>
    <t>Liczba akcji</t>
  </si>
  <si>
    <t>Aktywo z tytułu podatku odroczonego</t>
  </si>
  <si>
    <t>Rezerwa z tytułu podatku odroczonego – działalność kontynuowana</t>
  </si>
  <si>
    <t>Rezerwa z tytułu podatku odroczonego – działalność zaniechana</t>
  </si>
  <si>
    <t>Aktywa/Rezerwa netto z tytułu podatku odroczonego</t>
  </si>
  <si>
    <t xml:space="preserve">Zysk netto z działalności kontynuowanej </t>
  </si>
  <si>
    <t xml:space="preserve">Strata na działalności zaniechanej </t>
  </si>
  <si>
    <t>Wyliczenie zysku na jedną akcje - założenia</t>
  </si>
  <si>
    <t>Efekt rozwodnienia:</t>
  </si>
  <si>
    <t xml:space="preserve"> - odsetki od umarzalnych akcji uprzywilejowanych zamiennych na akcje zwykłe</t>
  </si>
  <si>
    <t xml:space="preserve"> - odsetki od obligacji zamiennych na akcje</t>
  </si>
  <si>
    <t xml:space="preserve"> -  instrument rozwadniający zysk 1</t>
  </si>
  <si>
    <t xml:space="preserve">Zysk wykazany dla potrzeb wyliczenia wartości rozwodnionego zysku przypadającego na jedną akcję </t>
  </si>
  <si>
    <t>Średnia ważona liczba akcji wykazana dla potrzeb wyliczenia wartości podstawowego zysku  na jedną akcję w szt.</t>
  </si>
  <si>
    <t>Efekt rozwodnienia liczby akcji zwykłych</t>
  </si>
  <si>
    <t xml:space="preserve"> - opcje na akcje</t>
  </si>
  <si>
    <t xml:space="preserve"> - obligacje zamienne na akcje</t>
  </si>
  <si>
    <t xml:space="preserve"> - instrument rozwadniający zysk 1</t>
  </si>
  <si>
    <t>Średnia ważona liczba akcji zwykłych wykazana dla potrzeb wyliczenia wartości rozwodnionego zysku na jedną akcję w szt.</t>
  </si>
  <si>
    <t>Liczba wyemitowanych akcji</t>
  </si>
  <si>
    <t>Własne</t>
  </si>
  <si>
    <t>Używane na podstawie umowy najmu, dzierżawy lub innej umowy, w tym umowy leasingu</t>
  </si>
  <si>
    <t>Tytuł zobowiązania / ograniczenia w dysponowaniu</t>
  </si>
  <si>
    <t>Utworzone w ciągu roku obrotowego</t>
  </si>
  <si>
    <t>Korekta z tytułu różnic kursowych</t>
  </si>
  <si>
    <t>Korekta stopy dyskontowej</t>
  </si>
  <si>
    <t>Wobec jednostek powiązanych</t>
  </si>
  <si>
    <t>Wobec jednostek pozostałych</t>
  </si>
  <si>
    <t>Podatek VAT</t>
  </si>
  <si>
    <t>Podatek zryczałtowany u źródła</t>
  </si>
  <si>
    <t>Podatek dochodowy od osób fizycznych</t>
  </si>
  <si>
    <t>Pozostałe zobowiązania</t>
  </si>
  <si>
    <t>Zobowiązania wobec pracowników z tytułu wynagrodzeń</t>
  </si>
  <si>
    <t>Zobowiązania wobec podmiotów powiązanych</t>
  </si>
  <si>
    <t>Zobowiązania wobec wspólnego przedsięwzięcia</t>
  </si>
  <si>
    <t>Inne zobowiązania</t>
  </si>
  <si>
    <t>Zapasy</t>
  </si>
  <si>
    <t>Zysk wykazany dla potrzeb wyliczenia wartości podstawowego zysku przypadającego na jedną akcję</t>
  </si>
  <si>
    <t xml:space="preserve">Wartość udziałów wg ceny nabycia </t>
  </si>
  <si>
    <t>Korekty aktualizujące wartość</t>
  </si>
  <si>
    <t>Wartość bilansowa udziałów</t>
  </si>
  <si>
    <t>Procent posiadanych udziałów</t>
  </si>
  <si>
    <t>Procent posiadanych głosów</t>
  </si>
  <si>
    <t>Zysk / strata netto</t>
  </si>
  <si>
    <t>Wartość aktywów</t>
  </si>
  <si>
    <t>Aktywa trwałe</t>
  </si>
  <si>
    <t>Aktywa obrotowe</t>
  </si>
  <si>
    <t>Wartość zobowiązań</t>
  </si>
  <si>
    <t>Wartość przychodów</t>
  </si>
  <si>
    <t xml:space="preserve"> Pożyczki udzielone, w tym:</t>
  </si>
  <si>
    <t xml:space="preserve"> - dla Zarządu i Rady Nadzorczej</t>
  </si>
  <si>
    <t xml:space="preserve"> Instrumenty zabezpieczające wartość godziwą</t>
  </si>
  <si>
    <t xml:space="preserve"> Instrumenty zabezpieczające przepływy pieniężne</t>
  </si>
  <si>
    <t xml:space="preserve"> Inne</t>
  </si>
  <si>
    <t>Należności długoterminowe</t>
  </si>
  <si>
    <t>Należności z tytułu zaliczek na środki trwałe w budowie</t>
  </si>
  <si>
    <t>Długoterminowe rozliczenia międzyokresowe</t>
  </si>
  <si>
    <t>Kaucje gwarancyjne zdeponowane w banku</t>
  </si>
  <si>
    <t>RAZEM</t>
  </si>
  <si>
    <t>- inne</t>
  </si>
  <si>
    <t xml:space="preserve">Należności handlowe </t>
  </si>
  <si>
    <t>Stan odpisów aktualizujących wartość należności handlowych na początek okresu</t>
  </si>
  <si>
    <t>Należności handlowe dochodzone na drodze sądowej:</t>
  </si>
  <si>
    <t>Pozostałe należności dochodzone na drodze sądowej:</t>
  </si>
  <si>
    <t>Należności handlowe skierowane na drogę postępowania sądowego</t>
  </si>
  <si>
    <t>Wartość netto należności handlowych dochodzonych na drodze sądowej</t>
  </si>
  <si>
    <t xml:space="preserve"> - długoterminowe</t>
  </si>
  <si>
    <t xml:space="preserve"> - krótkoterminowe</t>
  </si>
  <si>
    <t>Udzielone pożyczki</t>
  </si>
  <si>
    <t>- otrzymania aportu</t>
  </si>
  <si>
    <t>Udzielone pożyczki, w tym:</t>
  </si>
  <si>
    <t>- dla Zarządu i Rady Nadzorczej</t>
  </si>
  <si>
    <t>Odpisy aktualizujące z tytułu utraty wartości</t>
  </si>
  <si>
    <t>Suma netto udzielonych pożyczek</t>
  </si>
  <si>
    <t>Środki
transportu</t>
  </si>
  <si>
    <t>Pozostałe
środki
trwałe</t>
  </si>
  <si>
    <t>Koszty finansowe</t>
  </si>
  <si>
    <t>Wartość firmy</t>
  </si>
  <si>
    <t>Pozostałe</t>
  </si>
  <si>
    <t>Nie przeterminowane</t>
  </si>
  <si>
    <t>-</t>
  </si>
  <si>
    <t>Pozostałe świadczenia długoterminowe</t>
  </si>
  <si>
    <t>Aktywa segmentu</t>
  </si>
  <si>
    <t>Zysk (strata) przypisana akcjonariuszom niekontrolującym</t>
  </si>
  <si>
    <t>Kapitał akcjonariuszy niekontrolujących</t>
  </si>
  <si>
    <t>Działalność zaniechana</t>
  </si>
  <si>
    <t>Sprzedaż na zewnątrz</t>
  </si>
  <si>
    <t>Sprzedaż między segmentami</t>
  </si>
  <si>
    <t xml:space="preserve">Koszty segmentu </t>
  </si>
  <si>
    <t>Koszty sprzedaży zewnętrznej</t>
  </si>
  <si>
    <t>Koszty sprzedaży między segmentami</t>
  </si>
  <si>
    <t>Zysk/ (strata) segmentu</t>
  </si>
  <si>
    <t>Zysk/(strata) przed opodatkowaniem</t>
  </si>
  <si>
    <t>Udział w zyskach (stratach) jednostek stowarzyszonych i wspólnych przedsięwzięć wycenianych metodą praw własności</t>
  </si>
  <si>
    <t xml:space="preserve">Zysk/ (strata) netto </t>
  </si>
  <si>
    <t>Aktywa ogółem</t>
  </si>
  <si>
    <t xml:space="preserve">Aktywa nieprzypisane </t>
  </si>
  <si>
    <t>Zobowiązania ogółem</t>
  </si>
  <si>
    <t>Zobowiązania segmentu</t>
  </si>
  <si>
    <t xml:space="preserve">Zobowiązania nieprzypisane </t>
  </si>
  <si>
    <t>Pozostałe informacje dotyczące segmentu</t>
  </si>
  <si>
    <t>Nakłady inwestycyjne</t>
  </si>
  <si>
    <t>- rzeczowe aktywa trwałe</t>
  </si>
  <si>
    <t>- wartości niematerialne</t>
  </si>
  <si>
    <t>- nieruchomości inwestycyjne</t>
  </si>
  <si>
    <t xml:space="preserve">Amortyzacja </t>
  </si>
  <si>
    <t>Odpisy aktualizujące wartości aktywów finansowych i niefinansowych</t>
  </si>
  <si>
    <t>Istotne pozostałe koszty niepieniężne</t>
  </si>
  <si>
    <t>Wyłączenia konsolidacyjne</t>
  </si>
  <si>
    <r>
      <t>Korekty</t>
    </r>
    <r>
      <rPr>
        <b/>
        <vertAlign val="superscript"/>
        <sz val="8"/>
        <rFont val="Arial"/>
        <family val="2"/>
        <charset val="238"/>
      </rPr>
      <t>*</t>
    </r>
  </si>
  <si>
    <t>Należności skierowane na drogę postępowania sądowego</t>
  </si>
  <si>
    <t>Należności krótkoterminowe skierowane na drogę sądową netto razem:</t>
  </si>
  <si>
    <t>Nota 1. PRZYCHODY ZE SPRZEDAŻY</t>
  </si>
  <si>
    <t>Nota 2. SEGMENTY OPERACYJNE</t>
  </si>
  <si>
    <t>Nota 3. KOSZTY DZIAŁALNOŚCI OPERACYJNEJ</t>
  </si>
  <si>
    <t>Nota 4. POZOSTAŁE PRZYCHODY I KOSZTY OPERACYJNE</t>
  </si>
  <si>
    <t>Nota 5. PRZYCHODY  I KOSZTY FINANSOWE</t>
  </si>
  <si>
    <t>Nota 6. PODATEK DOCHODOWY I ODROCZONY PODATEK DOCHODOWY</t>
  </si>
  <si>
    <t>RACHUNEK ZYSKÓW I STRAT</t>
  </si>
  <si>
    <t>BILANS</t>
  </si>
  <si>
    <t>RACHUNEK PRZEPŁYWÓW PIENIĘŻNYCH</t>
  </si>
  <si>
    <t>Kurs EUR/PLN</t>
  </si>
  <si>
    <t>- dla danych bilansowych</t>
  </si>
  <si>
    <t>- dla danych rachunku zysków i strat</t>
  </si>
  <si>
    <t>Do przeliczenia danych bilansowych użyto kursu średniego NBP na dzień bilansowy. 
Do przeliczenia pozycji rachunku zysków i strat oraz rachunku przepływów pieniężnych użyto kursu będącego średnią arytmetyczną kursów NBP obowiązujących na ostatni dzień poszczególnych miesięcy danego okresu.</t>
  </si>
  <si>
    <t>Nakłady na prace badawcze i rozwojowe</t>
  </si>
  <si>
    <t>MSR 38.126</t>
  </si>
  <si>
    <t>Różnica z tytułu przekazania aktywów niegotówkowych właścicielom</t>
  </si>
  <si>
    <t>KIMSF 17.15</t>
  </si>
  <si>
    <t>13</t>
  </si>
  <si>
    <t>15</t>
  </si>
  <si>
    <t>16</t>
  </si>
  <si>
    <t>17</t>
  </si>
  <si>
    <t>18</t>
  </si>
  <si>
    <t>19</t>
  </si>
  <si>
    <t>29</t>
  </si>
  <si>
    <t>Koszty działalności operacyjnej</t>
  </si>
  <si>
    <t xml:space="preserve">Zużycie materiałów i energii </t>
  </si>
  <si>
    <t xml:space="preserve">Usługi obce </t>
  </si>
  <si>
    <t xml:space="preserve">Ubezpieczenia społeczne i inne świadczenia </t>
  </si>
  <si>
    <t xml:space="preserve">Pozostałe koszty rodzajowe </t>
  </si>
  <si>
    <t>Zysk (strata) ze sprzedaży</t>
  </si>
  <si>
    <t>Rybnik, ul. Raciborska 35a</t>
  </si>
  <si>
    <t>Pożyczki krókoterminowe</t>
  </si>
  <si>
    <t>Korekty konsolidacyjne</t>
  </si>
  <si>
    <t>Koszt programu opcji managerskich</t>
  </si>
  <si>
    <t>Włączenie do konsolidacji środków trwałych</t>
  </si>
  <si>
    <t>Pozostałe obciążenia</t>
  </si>
  <si>
    <t>Koszty postępowaniam sądowego</t>
  </si>
  <si>
    <t>Likwidacja środków trwałych</t>
  </si>
  <si>
    <t>Zysk (strata) na sprzedaży całości lub części udziałów jednostek podporządkowanych</t>
  </si>
  <si>
    <t>Prace rozwojowe</t>
  </si>
  <si>
    <t>Karta kredytowa</t>
  </si>
  <si>
    <t>Aktualizacja wartości inwestycji</t>
  </si>
  <si>
    <t>Obsługa Klienta</t>
  </si>
  <si>
    <t>Pozostali pracownicy</t>
  </si>
  <si>
    <t>Seria A</t>
  </si>
  <si>
    <t>na okaziciela</t>
  </si>
  <si>
    <t>Seria B</t>
  </si>
  <si>
    <t>nieistotność</t>
  </si>
  <si>
    <t>Zobowiązania z tytułu leasingu</t>
  </si>
  <si>
    <t>Rezerwa na ugodę</t>
  </si>
  <si>
    <t>Wynagrodzenie prowizyjne</t>
  </si>
  <si>
    <t>Bierne rozliczenia międzyokresowe kosztów</t>
  </si>
  <si>
    <t>Rezerwa na badanie sprawozdania finansowego</t>
  </si>
  <si>
    <t>Rozliczenia międzyokresowe, w tym:</t>
  </si>
  <si>
    <t xml:space="preserve">Rozliczenia międzyokresowe </t>
  </si>
  <si>
    <t>Emagenio sp. z o.o.</t>
  </si>
  <si>
    <t>NeronIT sp. z o.o.</t>
  </si>
  <si>
    <t>Odsetki</t>
  </si>
  <si>
    <t>UE</t>
  </si>
  <si>
    <t>Poza UE</t>
  </si>
  <si>
    <t>Fundacja Force, Rybnik</t>
  </si>
  <si>
    <t>odsetki zapłacone</t>
  </si>
  <si>
    <t>Opcje managerskie</t>
  </si>
  <si>
    <t>9</t>
  </si>
  <si>
    <t>10</t>
  </si>
  <si>
    <t>11</t>
  </si>
  <si>
    <t>12</t>
  </si>
  <si>
    <t>Istotne pozycje przychodów ujawnione zgodnie z pkt.86 MSSF 8 (np. przychody z tytułu wyceny i realizacji instrumentów finansowych)</t>
  </si>
  <si>
    <t>Istotne pozycje kosztów ujawnione zgodnie z pkt.86 MSSF 8 (np. koszty z tytułu wyceny i realizacji instrumentów finansowych, odpisy aktualizujące rzeczowe aktywa trwałe i wartości niematerialne, aktualizacja rezerw na świadczenia pracownicze)</t>
  </si>
  <si>
    <t>Zyski (straty) mniejszości</t>
  </si>
  <si>
    <t>Umowy współpracy</t>
  </si>
  <si>
    <t>SARE GmbH</t>
  </si>
  <si>
    <t>Ubezpieczenia majątkowe, OC</t>
  </si>
  <si>
    <t>Raty za telefon</t>
  </si>
  <si>
    <t>- weryfikacja oraz opinia do historycznej informacji finansowej</t>
  </si>
  <si>
    <t>koszty finansowe leasing</t>
  </si>
  <si>
    <t>dywidendy otrzymane</t>
  </si>
  <si>
    <t>Odsetki od pożyczek</t>
  </si>
  <si>
    <t>Świadczenia wypłacane Członkom Rady Nadzorczej</t>
  </si>
  <si>
    <t>Udział w wyniku</t>
  </si>
  <si>
    <t>0-30</t>
  </si>
  <si>
    <t>31-90</t>
  </si>
  <si>
    <t>181-365</t>
  </si>
  <si>
    <t>Korekta wyniku roku poprzedniego</t>
  </si>
  <si>
    <t>bilansowa zmiana stanu rezerw z tytułu odroczonego podatku dochodowego</t>
  </si>
  <si>
    <t>Zysk na okazjonalnym nabyciu</t>
  </si>
  <si>
    <t>PFRON</t>
  </si>
  <si>
    <t>Zobowiązania z tytułu korekty VAT (ulga na złe długi)</t>
  </si>
  <si>
    <t>powyżej 365</t>
  </si>
  <si>
    <t>Jednostki powiązane nie objęte konsolidacją</t>
  </si>
  <si>
    <t>należności brutto</t>
  </si>
  <si>
    <t>odpisy akualizujące</t>
  </si>
  <si>
    <t>nalezności netto</t>
  </si>
  <si>
    <t>Seria C</t>
  </si>
  <si>
    <t>Seria D</t>
  </si>
  <si>
    <t>Dywidenda</t>
  </si>
  <si>
    <t>-wytworzenia we własnym zakresie</t>
  </si>
  <si>
    <t>Inne, w tym oprogramowanie komputerowe</t>
  </si>
  <si>
    <t>Patenty i licencje</t>
  </si>
  <si>
    <t>Znaki towarowe</t>
  </si>
  <si>
    <t>Rezerwy na usługi</t>
  </si>
  <si>
    <t>14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</si>
  <si>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</si>
  <si>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</si>
  <si>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</si>
  <si>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</si>
  <si>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</si>
  <si>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</si>
  <si>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</si>
  <si>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</si>
  <si>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</si>
  <si>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`</t>
  </si>
  <si>
    <t xml:space="preserve"> zł</t>
  </si>
  <si>
    <t>dane w zł</t>
  </si>
  <si>
    <t>Pożyczki długoterminowe</t>
  </si>
  <si>
    <t>Fundacja Rozwoju i Ochrony Komunikacji Elektronicznej</t>
  </si>
  <si>
    <t>Sare GmbH, Berlin</t>
  </si>
  <si>
    <t>Środki pieniężne na rachunkach bankowych</t>
  </si>
  <si>
    <t>Inne</t>
  </si>
  <si>
    <t>Odpis aktualizacyjny aktywów finansowych</t>
  </si>
  <si>
    <t>Paypal, Payu, Tpay</t>
  </si>
  <si>
    <t>Zwrot zasądzonych kosztów sądowych</t>
  </si>
  <si>
    <t>Środki twrałe w budowie</t>
  </si>
  <si>
    <t>Przychody z działalności zaniechanej</t>
  </si>
  <si>
    <t>Koszty według rodzajów ogółem</t>
  </si>
  <si>
    <t>Środki trwałe w budowie</t>
  </si>
  <si>
    <t>Inne rozliczenia międzyokresowe</t>
  </si>
  <si>
    <t>Rezerwa na usługi</t>
  </si>
  <si>
    <t>Fundusze specjalne</t>
  </si>
  <si>
    <t>Sales Intelligence S.A.</t>
  </si>
  <si>
    <t>Fast White Cat S.A.</t>
  </si>
  <si>
    <t>Adepto Sp. z o.o.</t>
  </si>
  <si>
    <t>- przyjęcie środka trwałego</t>
  </si>
  <si>
    <t>- sprzedaż</t>
  </si>
  <si>
    <t>Amortyzacja przed objęciem konroli</t>
  </si>
  <si>
    <t>korekta konsolidacyjna*</t>
  </si>
  <si>
    <t>Sales Intelligence</t>
  </si>
  <si>
    <t>Fast White Cat</t>
  </si>
  <si>
    <t>Przychody przyszłych okresów</t>
  </si>
  <si>
    <t>Korekty związane z wprowadzeniem MSSF 9</t>
  </si>
  <si>
    <t>Stan odpisów aktualizujących wartość należności handlowych na początek okresu po korektach</t>
  </si>
  <si>
    <t>- odpis aktualizujący MSSF 9</t>
  </si>
  <si>
    <t>- wycena bilansowa</t>
  </si>
  <si>
    <t>- oddalenie powództwa</t>
  </si>
  <si>
    <t>- wyksięgowanie należności i odpisu</t>
  </si>
  <si>
    <t>- należności dochodzone na drodze sądowej</t>
  </si>
  <si>
    <t>Licencje</t>
  </si>
  <si>
    <t>Konta email, serwery, konta na portalach internetowych</t>
  </si>
  <si>
    <t>Refaktury</t>
  </si>
  <si>
    <t>Wyksięgowanie rozrachunków</t>
  </si>
  <si>
    <t>Polinvest 7 S.a.r.l.</t>
  </si>
  <si>
    <t>Salelifter sp. z o.o.</t>
  </si>
  <si>
    <t>JU sp. z o.o.</t>
  </si>
  <si>
    <t>Videotarget sp. z o.o.</t>
  </si>
  <si>
    <t>Zwiększenia stanu z tytułu przejęcia kolejnych udziałów</t>
  </si>
  <si>
    <t>Zmiany zasad (polityki) rachunkowości w związku z wprowadzeniem MSSF 9</t>
  </si>
  <si>
    <t>Zakup udziałów od udziałowców mniejszościowych</t>
  </si>
  <si>
    <t>Utworzenie kapitału rezerwowego</t>
  </si>
  <si>
    <t>Sprzedaż udziałów do udziałowców mniejszościowych</t>
  </si>
  <si>
    <t>Zakup udziałów mniejszości</t>
  </si>
  <si>
    <t>Sprzedaż udziałów mniejszości</t>
  </si>
  <si>
    <t>Zwiekszenia</t>
  </si>
  <si>
    <t>Zmniejszenia</t>
  </si>
  <si>
    <t>Nakłady na prace rozwojowe</t>
  </si>
  <si>
    <t>- przyjęcia projektów na wartości niematerialne i prawne</t>
  </si>
  <si>
    <t xml:space="preserve">zwiększania </t>
  </si>
  <si>
    <t>Odpisy aktualizujące BZ</t>
  </si>
  <si>
    <t>Amortyzacja przed objęciem kontroli</t>
  </si>
  <si>
    <t>Zysk / Strata brutto</t>
  </si>
  <si>
    <t>Zwiększenie/zmniejszenie stanu zapasów</t>
  </si>
  <si>
    <t>Zwiększenie/zmniejszenie stanu należności</t>
  </si>
  <si>
    <t>Zwiększenie/zmniejszenie stanu zobowiązań, z wyjątkiem kredytów i pożyczek oraz innych zobowiązań finansowych</t>
  </si>
  <si>
    <t>Zmiana stanu rozliczeń międzyokresowych</t>
  </si>
  <si>
    <t xml:space="preserve">Pozostałe </t>
  </si>
  <si>
    <t>Podatek dochodowy zapłacony</t>
  </si>
  <si>
    <t>Sprzedaż rzeczowych aktywów trwałych i aktywów niematerialnych</t>
  </si>
  <si>
    <t>Sprzedaż nieruchomości inwestycyjnych</t>
  </si>
  <si>
    <t>Sprzedaż inwestycji w jednostkach zależnych, stowarzyszonych i wspólnych przedsięwzięciach</t>
  </si>
  <si>
    <t xml:space="preserve">Spłata udzielonych pożyczek </t>
  </si>
  <si>
    <t>Nabycie rzeczowych akywów trwałych i aktywów niematerialnych</t>
  </si>
  <si>
    <t>Nabycie nieruchomości inwestycyjnych</t>
  </si>
  <si>
    <t>Nabycie inwestycji w jednostkach zależnych, stowarzyszonych i wspólnych przedsięwzięciach</t>
  </si>
  <si>
    <t>Udzielenie pożyczek</t>
  </si>
  <si>
    <t>Wpływy z tytułu emisji akcji</t>
  </si>
  <si>
    <t>Wpływy z tytułu zaciągnięcia pożyczek/kredytów</t>
  </si>
  <si>
    <t>Dywidendy wypłacone</t>
  </si>
  <si>
    <t>Spłaty pożyczek/kredytów</t>
  </si>
  <si>
    <t>Spłata zobowiązań z tytułu leasingu finansowego</t>
  </si>
  <si>
    <t>Odsetki zapłacone</t>
  </si>
  <si>
    <t>Rozliczenie międzyokresowe przychodów</t>
  </si>
  <si>
    <t>Spisanie aktywa do wysokości rezerwy</t>
  </si>
  <si>
    <t>korekta z tytułu leasingu finansowego</t>
  </si>
  <si>
    <t>zmiana stanu należności wynikająca z podatku dochodowego</t>
  </si>
  <si>
    <t>DIGITREE GROUP S.A.</t>
  </si>
  <si>
    <t>01.01.2019-31.12.2019</t>
  </si>
  <si>
    <t>Dwanaście miesięcy zakończonych 31.12.2019</t>
  </si>
  <si>
    <t>Kapitał własny na dzień 01.01.2019</t>
  </si>
  <si>
    <t>Kapitał własny na dzień 31.12.2019</t>
  </si>
  <si>
    <t>Wynik za rok 2019</t>
  </si>
  <si>
    <t>Informacja o poszcególnych segmentach operacyjnych wystepujacych w okresie 01.01.2019-31.12.2019</t>
  </si>
  <si>
    <t>Rodzaj asortymentu 01.01.2019-31.12.2019</t>
  </si>
  <si>
    <t>Segmenty geograficzne za okres 01.01.2019-31.12.2019</t>
  </si>
  <si>
    <t>Zmiany środków trwałych (wg grup rodzajowych) za okres 01.01.2019-31.12.2019</t>
  </si>
  <si>
    <t>Wartość bilansowa brutto na dzień 01.01.2019</t>
  </si>
  <si>
    <t>Wartość bilansowa brutto na dzień 01.01.2019 po korekcie konsolidacyjnej</t>
  </si>
  <si>
    <t>Wartość bilansowa brutto na dzień 31.12.2019</t>
  </si>
  <si>
    <t>Umorzenie na dzień 01.01.2019</t>
  </si>
  <si>
    <t>Umorzenie na dzień 01.01.2019 po korekcie konsolidacyjnej</t>
  </si>
  <si>
    <t>Umorzenie na dzień 31.12.2019</t>
  </si>
  <si>
    <t>Wartość bilansowa netto na dzień 31.12.2019</t>
  </si>
  <si>
    <t>Zmiany wartości niematerialnych (wg grup rodzajowych) - za okres 01.01.2019-31.12.2019</t>
  </si>
  <si>
    <t>Wartość bilanosowa brutto na dzień 01.01.2019</t>
  </si>
  <si>
    <t>Odpisy aktualizujące na dzień 01.01.2019</t>
  </si>
  <si>
    <t>Odpisy aktualizujące na dzień 01.01.2019 po korekcie konsolidacyjnej</t>
  </si>
  <si>
    <t>- wytworzenia we własnym zakresie</t>
  </si>
  <si>
    <t>- przyjęcia projektów na wartości niematerialne</t>
  </si>
  <si>
    <t>Zwiększenia</t>
  </si>
  <si>
    <t>Inwestycje w jednostkach podporządkowanych nie objętych konsolidacją na dzień 31.12.2019</t>
  </si>
  <si>
    <t>Bieżące i przeterminowane należności handlowe na 31.12.2019 r.</t>
  </si>
  <si>
    <t>Kapitał zakładowy struktura na dzień 31.12.2019</t>
  </si>
  <si>
    <t>Stan na 01.01.2019</t>
  </si>
  <si>
    <t>Stan na 31.12.2019, w tym</t>
  </si>
  <si>
    <t>Stan na 31.12.2019, w tym:</t>
  </si>
  <si>
    <t>Prawo do użytkowania lokalu</t>
  </si>
  <si>
    <t>Prawo do użytkowania samochodu</t>
  </si>
  <si>
    <t>Wartość bilansowa brutto na dzień 01.01.2019r.</t>
  </si>
  <si>
    <t>Korekta - zmiana polityki rachunkowości</t>
  </si>
  <si>
    <t xml:space="preserve"> - sprzedaży</t>
  </si>
  <si>
    <t>Umorzenie na dzień 01.01.2019r.</t>
  </si>
  <si>
    <t>Wartość bilansowa brutto na dzień 31.12.2019r.</t>
  </si>
  <si>
    <t>Umorzenie na dzień 31.12.2019r.</t>
  </si>
  <si>
    <t>korekta - zmiana polityki rachunkowości</t>
  </si>
  <si>
    <t>Prawo do użytkowania</t>
  </si>
  <si>
    <t xml:space="preserve">Umorzenie na dzień 01.01.2019r. po korekcie </t>
  </si>
  <si>
    <t xml:space="preserve">Wartość bilansowa brutto na dzień 01.01.2019r. po korekcie </t>
  </si>
  <si>
    <t xml:space="preserve">Wartość bilansowa brutto na dzień 01.01.2019 po korekcie </t>
  </si>
  <si>
    <t>Inis sp. z o.o.</t>
  </si>
  <si>
    <t>Zmiany stanu wartości firmy z konsolidacji</t>
  </si>
  <si>
    <t>Inis, JU, Salelifter, Videotarget</t>
  </si>
  <si>
    <t>Sales Intelligence, Adepto, Cashback Services</t>
  </si>
  <si>
    <t>Amortyzacja Prawo do użytkowania</t>
  </si>
  <si>
    <t xml:space="preserve">Dotacje </t>
  </si>
  <si>
    <t>Aktualizacja wartość aktywów finansowych</t>
  </si>
  <si>
    <t>Strata ze zbycia inwestycji</t>
  </si>
  <si>
    <t>Koszty finansowe z tytułu leasingu</t>
  </si>
  <si>
    <t>Kampanie reklamowe i projekty</t>
  </si>
  <si>
    <t>TRANSAKCJE Z PODMIOTAMI POWIĄZANYMI OBJĘTYMI I NIE OBJĘTYMI KONSOLIDACJĄ</t>
  </si>
  <si>
    <t>Digitree</t>
  </si>
  <si>
    <t>Marketing</t>
  </si>
  <si>
    <t xml:space="preserve">Dział IT </t>
  </si>
  <si>
    <t>Odpisy aktualizujące prace rozwojowe</t>
  </si>
  <si>
    <t>Noty Synergia</t>
  </si>
  <si>
    <t>Odpis aktualizujący</t>
  </si>
  <si>
    <t>Pozycje,  które mogą być przekwalifikowane do rachunku zysków i strat w kolejnych okresach</t>
  </si>
  <si>
    <t>Zabezpieczenie przepływów pieniężnych</t>
  </si>
  <si>
    <t>Aktualizacja wartości aktywów finansowych</t>
  </si>
  <si>
    <t>Różnice kursowe z przeliczenia jednostek zagranicznych</t>
  </si>
  <si>
    <t>Udział w innych dochodach całkowitych jednostek stowarzyszonych i wspólnych przedsięwzięć</t>
  </si>
  <si>
    <t>Pozycje, które nie mogą być przekwalifikowane do rachunku zysków i strat w kolejnych okresach</t>
  </si>
  <si>
    <t>Zyski (straty) aktuarialne</t>
  </si>
  <si>
    <t>Inne dochody całkowite</t>
  </si>
  <si>
    <t>Seria E</t>
  </si>
  <si>
    <t>Seria G</t>
  </si>
  <si>
    <t>emisja akcji serii E</t>
  </si>
  <si>
    <t>emisja akcji serii G</t>
  </si>
  <si>
    <t>Korekty konsolidacyjne związane z wartością firmy</t>
  </si>
  <si>
    <t>Wykorzystanie kapitału rezerwowego</t>
  </si>
  <si>
    <t>Adepto sp. z o.o, Rybnik</t>
  </si>
  <si>
    <t>Korekta - zmiana polityki rachunkowości (MSSF 16)</t>
  </si>
  <si>
    <t>Prawo do użytkowania sprzętu</t>
  </si>
  <si>
    <t>korekta o zmianę zobowiązania z tyt. innych zobowiązań</t>
  </si>
  <si>
    <t>Zmiany prawa do użytkowania (wg grup rodzajowych) - za okres 01.01.2019-31.12.2019</t>
  </si>
  <si>
    <t>30</t>
  </si>
  <si>
    <t xml:space="preserve">Dochody całkowite netto </t>
  </si>
  <si>
    <t>Dochody całkowite przypisane akcjonariuszom niekontrolującym</t>
  </si>
  <si>
    <t>Dochody całkowite przypadająca na podmiot dominujący</t>
  </si>
  <si>
    <t>Kapitał z wyceny instrumentów finansowych</t>
  </si>
  <si>
    <t>Wycena do wartości godziwej na dzień utraty kontroli</t>
  </si>
  <si>
    <t>Kapitał z aktualizacji instrumentów finansowych</t>
  </si>
  <si>
    <t>Wycena aktywów finansowych (Inne całkowite dochody)</t>
  </si>
  <si>
    <t>Zmiana stanu pozostałych kapitałów wraz z kapitałem z aktualizacji instrumentów finansowych</t>
  </si>
  <si>
    <t>01.01.2020-31.12.2020</t>
  </si>
  <si>
    <t>przekształcone 31.12.2019*</t>
  </si>
  <si>
    <t>przekształcone 01.01.2019*</t>
  </si>
  <si>
    <t>Aktywa przeznaczone do zbycia</t>
  </si>
  <si>
    <t>Dwanaście miesięcy zakończonych 31.12.2020</t>
  </si>
  <si>
    <t>Kapitał własny na dzień 01.01.2020</t>
  </si>
  <si>
    <t xml:space="preserve">Zmiany zasad (polityki) rachunkowości </t>
  </si>
  <si>
    <t>Wynik na wykupie udziałów niekontrolujących</t>
  </si>
  <si>
    <t>Wynik za rok 2020</t>
  </si>
  <si>
    <t>Kapitał własny na dzień 31.12.2020</t>
  </si>
  <si>
    <t>przekształcone za okres 01.01.2019-31.12.2019*</t>
  </si>
  <si>
    <t>OPIS ZMIAN ZASAD RACHUNKOWOŚCI I KOREKT BŁĘDÓW</t>
  </si>
  <si>
    <t>Pozycja sprawozdania</t>
  </si>
  <si>
    <t>Wpływ na 01.01.2019</t>
  </si>
  <si>
    <t>Wpływ na 31.12.2019</t>
  </si>
  <si>
    <t>WN</t>
  </si>
  <si>
    <t>MA</t>
  </si>
  <si>
    <t>Zmiana polityki rachunkowości - Udziały w innych jednostkach wyceniane są wg cen nabycia pomniejszonej o odpisy z tytułu trwałej utraty wartości. Dla udziałów w jednostkach zależnych ustalono konieczność dokonania oceny, czy koszt nabycia odpowiada wartości odzyskiwalnej, a jeżeli nie to oszacowanie ewentualnej różnicy i w zależności od jej oczekiwanej wielkości ustalenia czy konieczna jest wycena. Różnice w wartości udziałów Spółka zamierza odnosić na wynik finansowy. Poprzednio stosowana zasada rachunkowości była wyceną według wartości godziwej. Niemniej jednak biorąc pod uwagę trudności w wycenie oraz powiązania miedzy Spółkami Zarząd uznał, że nowe podejście jest bardziej przydatne dla Interesariuszy Spółki.</t>
  </si>
  <si>
    <t>Inwestycje w jednostkach podporządkowanych</t>
  </si>
  <si>
    <t>Zmiana polityki rachunkowości - Rezerwy z tytułu urlopów wypoczynkowych są szacowane w pełnej wysokości na podstawie średniej wysokości wynagrodzenia brutto + ZUS pracodawcy w ostatnim okresie sprawozdawczym, ilości dni niewykorzystanego urlopu wypoczynkowego</t>
  </si>
  <si>
    <t>Błąd dotyczył braku rozpoznania opcji PUT jako zobowiązania przy nabyciu akcji Fast White Cat S.A</t>
  </si>
  <si>
    <t>Błąd dotyczył braku odpisu aktywów netto VideoTarget Sp. z o.o. w sprawozdaniu finansowym skonsolidowanym na 31.12.2019 r. przy jednoczesnym całkowitym odpisie pożyczki udzielonej tej spółce oraz udziałów w niej w sprawozdaniu jednostkowym</t>
  </si>
  <si>
    <t>Błąd dotyczył powstawania przy transakcjach z udziałowcami mniejszościowymi wartości firmy w sprawozdaniu skonsolidowanym</t>
  </si>
  <si>
    <t>Pozostałe należności</t>
  </si>
  <si>
    <t>Rezerwa z tytułu odroczonego podatku dochodowego</t>
  </si>
  <si>
    <t>UZGODNIENIE POZYCJI SSF</t>
  </si>
  <si>
    <t>SPRAWOZDANIE Z SYTUACJI FINANSOWEJ - AKTYWA</t>
  </si>
  <si>
    <t>Przed</t>
  </si>
  <si>
    <t>Korekty</t>
  </si>
  <si>
    <t>Po</t>
  </si>
  <si>
    <t>SPRAWOZDANIE Z SYTUACJI FINANSOWEJ - PASYWA</t>
  </si>
  <si>
    <t>ŚRÓDROCZNY SKONSOLIDOWANY RACHUNEK ZYSKÓW I STRAT</t>
  </si>
  <si>
    <t>Koszty sprzedanych produktów, towarów i materiałów, w tym:</t>
  </si>
  <si>
    <t>Zysk  (strata) ze srzedaży</t>
  </si>
  <si>
    <t>Zysk(strata) na sprzedaży całości lub części udziałów jednostek podporządkowanych</t>
  </si>
  <si>
    <t>Odpis aktywów netto Videotarget</t>
  </si>
  <si>
    <t>Wycena rachunków walutowych</t>
  </si>
  <si>
    <t>Zmiany środków trwałych (wg grup rodzajowych) za okres 01.01.2020-31.12.2020</t>
  </si>
  <si>
    <t>Wartość bilansowa brutto na dzień 01.01.2020</t>
  </si>
  <si>
    <t xml:space="preserve">Wartość bilansowa brutto na dzień 01.01.2020 po korekcie </t>
  </si>
  <si>
    <t>Wartość bilansowa brutto na dzień 31.12.2020</t>
  </si>
  <si>
    <t>Umorzenie na dzień 01.01.2020</t>
  </si>
  <si>
    <t>Umorzenie na dzień 01.01.2020 po korekcie konsolidacyjnej</t>
  </si>
  <si>
    <t>Umorzenie na dzień 31.12.2020</t>
  </si>
  <si>
    <t>Wartość bilansowa netto na dzień 31.12.2020</t>
  </si>
  <si>
    <t>korekta - zmian polityki rachunkowości</t>
  </si>
  <si>
    <t xml:space="preserve">Umorzenie na dzień 01.01.2019 po korekcie </t>
  </si>
  <si>
    <t>Zmiany prawa do użytkowania (wg grup rodzajowych) - za okres 01.01.2020-31.12.2020</t>
  </si>
  <si>
    <t>Wartość bilansowa brutto na dzień 01.01.2020r.</t>
  </si>
  <si>
    <t xml:space="preserve">Wartość bilansowa brutto na dzień 01.01.2020r. po korekcie </t>
  </si>
  <si>
    <t>Wartość bilansowa brutto na dzień 31.12.2020r.</t>
  </si>
  <si>
    <t>Umorzenie na dzień 01.01.2020r.</t>
  </si>
  <si>
    <t xml:space="preserve">Umorzenie na dzień 01.01.2020r. po korekcie </t>
  </si>
  <si>
    <t>Umorzenie na dzień 31.12.2020r.</t>
  </si>
  <si>
    <t>Wartość bilansowa netto na dzień 31.12.2020r.</t>
  </si>
  <si>
    <t>Zmiany wartości niematerialnych (wg grup rodzajowych) - za okres 01.01.2020-31.12.2020</t>
  </si>
  <si>
    <t>Wartość bilanosowa brutto na dzień 01.01.2020</t>
  </si>
  <si>
    <t>Wartość bilansowa brutto na dzień 01.01.2020 po korekcie konsolidacyjnej</t>
  </si>
  <si>
    <t>Odpisy aktualizujące na dzień 01.01.2020</t>
  </si>
  <si>
    <t>Odpisy aktualizujące na dzień 01.01.2020 po korekcie konsolidacyjnej</t>
  </si>
  <si>
    <t>Wartość bilanosowa brutto na dzień 31.12.2019</t>
  </si>
  <si>
    <t>Odpisy aktualizujące na dzień 31.12.2019</t>
  </si>
  <si>
    <t>Zmniejszenie stanu z tytułu odpisu aktualizującego</t>
  </si>
  <si>
    <t>Udziały ADEPTO Sp. z o.o. zostały na moment utraty kontroli wycenione w wartości godziwej w oparciu o cenę rynkową zapłaconą przez niepowiązanych akcjonariuszy. Wartość ta wyniosła 533 333 zł.</t>
  </si>
  <si>
    <t>Wybrane dane finansowe Adepto Sp. z o.o. ze sprawozdania finansowego na dzień 31.12.2020 przygotowanego zgodnie z MSSF.</t>
  </si>
  <si>
    <t>Metoda wyceny</t>
  </si>
  <si>
    <t>wycena metodą praw własności</t>
  </si>
  <si>
    <t xml:space="preserve">Wartość godziwa udziałów na moment utraty kontroli </t>
  </si>
  <si>
    <t>Wypracowane wyniki przypadające na Jednostkę Dominującą</t>
  </si>
  <si>
    <t>Inwestycje w jednostkach podporządkowanych nie objętych konsolidacją na dzień 31.12.2020</t>
  </si>
  <si>
    <t>Bieżące i przeterminowane należności handlowe na 31.12.2020 r.</t>
  </si>
  <si>
    <t>Stan na 01.01.2020</t>
  </si>
  <si>
    <t>Stan na 31.12.2020, w tym</t>
  </si>
  <si>
    <t>Stan na dzień 01.01.2019</t>
  </si>
  <si>
    <t>Rezerwa na wynagrodzenie prowizyjne</t>
  </si>
  <si>
    <t>Stan na 31.12.2020, w tym:</t>
  </si>
  <si>
    <t>opcja PUT</t>
  </si>
  <si>
    <t>- sprzedaży spółki zależnej (brak konsolidacji)</t>
  </si>
  <si>
    <t>Kapitał zakładowy struktura na dzień 31.12.2020</t>
  </si>
  <si>
    <t xml:space="preserve">Tomasz Pruszczyński </t>
  </si>
  <si>
    <t>Andrzej Słomka</t>
  </si>
  <si>
    <t>Należności od podmiotów powiązanych, w tym z tyt. udzielonych pożyczek</t>
  </si>
  <si>
    <t>Zobowiązania wobec podmiotów powiązanych, w tym z tyt. otrzymanych pożyczek</t>
  </si>
  <si>
    <t>Informacja o poszcególnych segmentach operacyjnych wystepujacych w okresie 01.01.2020-31.12.2020</t>
  </si>
  <si>
    <t>Segmenty geograficzne za okres 01.01.2020-31.12.2020</t>
  </si>
  <si>
    <t xml:space="preserve"> - likwidacji</t>
  </si>
  <si>
    <t>- za przegląd półrocznego sprawozdania finansowego skonsolidowanego oraz przegląd jednostkowego sprawozdania finansowego</t>
  </si>
  <si>
    <t>- za raport z oceny sprawozdania o wynagrodzeniach</t>
  </si>
  <si>
    <t xml:space="preserve"> -  PFR</t>
  </si>
  <si>
    <t>Dofinansowanie COVID-19</t>
  </si>
  <si>
    <t>Sprzedaż udziałów w Videotarget</t>
  </si>
  <si>
    <t>Zysk ze zbycia niefinansowych aktywów trwałych (MSSF 16)</t>
  </si>
  <si>
    <t xml:space="preserve">Aktualizacja wartości WNIP </t>
  </si>
  <si>
    <t>Aktualizacja wartości prac rozwojowych</t>
  </si>
  <si>
    <t>Dopłata za akcje FWC</t>
  </si>
  <si>
    <t>Aktualizacja wartości pożyczek</t>
  </si>
  <si>
    <t xml:space="preserve">Kary umowne </t>
  </si>
  <si>
    <t>Prowizja od przyznanych kredytów</t>
  </si>
  <si>
    <t>Środki na rachunku karty kredytowej</t>
  </si>
  <si>
    <t>Środki pieniężne w kasie</t>
  </si>
  <si>
    <t>Tomasz Pruszczyński</t>
  </si>
  <si>
    <t>Sprzedaż udziałów Videotarget</t>
  </si>
  <si>
    <t>MSSF 16 Leasing</t>
  </si>
  <si>
    <t>Zysk (strata) jednostek wycenianych metodą praw własności</t>
  </si>
  <si>
    <t>Odpisy aktualizujące WNIP</t>
  </si>
  <si>
    <t>Likwidacja prawa do użytkowania</t>
  </si>
  <si>
    <t>Likwidacja/sprzedaż nieumorzonych ŚT i WNIP</t>
  </si>
  <si>
    <t xml:space="preserve">Wyksięgowanie rezerwy z tytułu podatku odroczonego </t>
  </si>
  <si>
    <t>Odpisy aktualizujące udzielone pożyczki</t>
  </si>
  <si>
    <t>Sprzedaż udziałów w spółkach zależnych</t>
  </si>
  <si>
    <t>zmiana stanu zobowiązań długoterminowych wynikająca z bilansu</t>
  </si>
  <si>
    <t>niezapłacone/zapłacone z poprzedniego roku zobowiązania inwestycyjne</t>
  </si>
  <si>
    <t>Zmiana kapitałów</t>
  </si>
  <si>
    <t>zysk na sprzedaży całości lub części udziałów jednostek podporządkowanych</t>
  </si>
  <si>
    <t>odpisy aktualizujące wartość udziałów</t>
  </si>
  <si>
    <t>odpisy aktualizujące wartość firmy</t>
  </si>
  <si>
    <t>-dokonanie odpisów na należności w związku z zastosowaniem MSSF 9</t>
  </si>
  <si>
    <t>Sprzedaż spółki</t>
  </si>
  <si>
    <t>Wynagrodzenie należne za rok obrotowy</t>
  </si>
  <si>
    <t>Tabela wymagalności w nominałach</t>
  </si>
  <si>
    <t>Poniżej roku</t>
  </si>
  <si>
    <t>Od 1 do 2 lat</t>
  </si>
  <si>
    <t>Od 2 do 5 lat</t>
  </si>
  <si>
    <t>Ponad 5 lat</t>
  </si>
  <si>
    <t>60 – 90 dni</t>
  </si>
  <si>
    <t>90 –180 dni</t>
  </si>
  <si>
    <t>180 – 360 dni</t>
  </si>
  <si>
    <t>Kredyt na refinansowanie inwestycji</t>
  </si>
  <si>
    <t>Kredyt w rachunku bieżącym</t>
  </si>
  <si>
    <t>Otrzymana pożyczka</t>
  </si>
  <si>
    <t>Zobowiązania z tyt. leasingu</t>
  </si>
  <si>
    <t>Opcja PUT</t>
  </si>
  <si>
    <t>Aktywa wyceniane w zamortyzowanym koszcie</t>
  </si>
  <si>
    <t>Zobowiązania wyceniane w zamortyzowanym koszcie</t>
  </si>
  <si>
    <t>Aktywa wyceniane w wartości godziwej przez wynik finansowy</t>
  </si>
  <si>
    <t>Aktywa wyceniane w wartości godziwej przez całkowite dochody</t>
  </si>
  <si>
    <t>Przychody/koszty z tytułu odsetek</t>
  </si>
  <si>
    <t>Zyski/straty z tytułu różnic kursowych</t>
  </si>
  <si>
    <t>Utworzenie (-)/odwrócenie odpisów aktualizujących(+)</t>
  </si>
  <si>
    <t>Zyski/straty z tytułu wyceny do wartości godziwej</t>
  </si>
  <si>
    <t>Zyski/straty z tytułu sprzedaży</t>
  </si>
  <si>
    <t>Przychody/koszty z tytułu dyskonta należności/zobowiązań</t>
  </si>
  <si>
    <t>Utworzenie(-)/odwrócenie odpisów aktualizujących(+)</t>
  </si>
  <si>
    <t>Stan na 1 stycznia 2020r.</t>
  </si>
  <si>
    <t>Wpływy z tytułu zaciągnięcia zadłużenia:</t>
  </si>
  <si>
    <t>- otrzymane finansowanie</t>
  </si>
  <si>
    <t>- zawarcie nowych umów leasingu</t>
  </si>
  <si>
    <t>Korekty wynikające ze zmian w umowach leasingu</t>
  </si>
  <si>
    <t>Naliczone odsetki i prowizje</t>
  </si>
  <si>
    <t>Płatności z tytułu zadłużenia:</t>
  </si>
  <si>
    <t>- spłata zobowiązania (kapitału)</t>
  </si>
  <si>
    <t>- zapłacone odsetki i prowizje</t>
  </si>
  <si>
    <t>- spłata linii kredytowej</t>
  </si>
  <si>
    <t>Różnice kursowe</t>
  </si>
  <si>
    <t>Inne zwiększenia/zmniejszenia</t>
  </si>
  <si>
    <t>Stan na 31 grudnia 2020r.</t>
  </si>
  <si>
    <t>Stan na 1 stycznia 2019r.</t>
  </si>
  <si>
    <t>Stan na 1 stycznia 2019r. po zmianach polityki rachunkowości</t>
  </si>
  <si>
    <t>- zwiększenie linii kredytowej</t>
  </si>
  <si>
    <t>Stan na 31 grudnia 2019r.</t>
  </si>
  <si>
    <t>Rodzaj asortymentu 01.01.2020-31.12.2020</t>
  </si>
  <si>
    <t>Nazwa</t>
  </si>
  <si>
    <t>AKTYWA WYCENIANE W ZAMORTYZOWANYM KOSZCIE</t>
  </si>
  <si>
    <t>ZOBOWIĄZANIA WYCENIANE W ZAMORTYZOWANYM KOSZCIE</t>
  </si>
  <si>
    <t xml:space="preserve">Pozostałe zobowiązania   </t>
  </si>
  <si>
    <t>AKTYWA WYCENIANE W WARTOŚCI GODZIWEJ PRZEZ WYNIK FINANSOWY</t>
  </si>
  <si>
    <t>AKTYWA WYCENIANE W WARTOŚCI GODZIWEJ PRZEZ CAŁKOWITE DOCHODY</t>
  </si>
  <si>
    <t>Bank</t>
  </si>
  <si>
    <t>Rating</t>
  </si>
  <si>
    <t>Agencja ratingująca</t>
  </si>
  <si>
    <t>A</t>
  </si>
  <si>
    <t xml:space="preserve">AAA </t>
  </si>
  <si>
    <t>FITCH</t>
  </si>
  <si>
    <t>B</t>
  </si>
  <si>
    <t>A-</t>
  </si>
  <si>
    <t>C</t>
  </si>
  <si>
    <t>BBB+</t>
  </si>
  <si>
    <t>nd</t>
  </si>
  <si>
    <t>D</t>
  </si>
  <si>
    <t>AA</t>
  </si>
  <si>
    <t>SUMA</t>
  </si>
  <si>
    <t>Nazwa projektu</t>
  </si>
  <si>
    <t xml:space="preserve">Polska Agencja Przesiębiorczości - dofinansowanie do szkolenia </t>
  </si>
  <si>
    <t>Forma pomocy</t>
  </si>
  <si>
    <t>Podmiot udzielający</t>
  </si>
  <si>
    <t>Kwota otrzymana</t>
  </si>
  <si>
    <t>Zwolnienie ZUS</t>
  </si>
  <si>
    <t>ZUS Oddział w Rybniku ul. Reymonta 2, 44-200 Rybnik</t>
  </si>
  <si>
    <t>Dofinansowanie do wynagrodzeń</t>
  </si>
  <si>
    <t>Powiatowy Urząd Pracy w Rybniku ul. Jankowicka 1, 44-200 Rybnik</t>
  </si>
  <si>
    <t>Subwencja PFR</t>
  </si>
  <si>
    <t>Polskiego Funduszu Rozwoju, ul. Krucza 50, 00-025 Warszawa</t>
  </si>
  <si>
    <t>Zobowiązania długo- i krótkoterminowe</t>
  </si>
  <si>
    <t>Dotacja na kapitał obrotowy</t>
  </si>
  <si>
    <t>Polska Agencja Rozwoju Przedsiębiorczości, ul. Pańska 81/83, 00-834 Warszawa</t>
  </si>
  <si>
    <t>Błąd dotyczył niewłaściwego wyłączenia przychodów w sumariuszu konsolidacyjnym</t>
  </si>
  <si>
    <t>Projekt More.Sale (produkt SaaS) - POIR 01.01.01-00-0632/18  (dotacja na wytworzenie wartości niematerialnej i prawnej)</t>
  </si>
  <si>
    <t>Projekt More.Sale (produkt SaaS) - POIR 01.01.01-00-0632/18 (dotacja na wytworzenie wartości niematerialnej i prawnej)</t>
  </si>
  <si>
    <t>01.01.2020 - 31.12.2020</t>
  </si>
  <si>
    <t>01.01.2019 - 31.12.2019</t>
  </si>
  <si>
    <t>Korekty konsolidacyjne*</t>
  </si>
  <si>
    <t>Zysk przed opodatkowaniem po korektach*</t>
  </si>
  <si>
    <t>Podatek po uwzględnieniu korekt</t>
  </si>
  <si>
    <t>Podatek wyliczony według stawki 19%</t>
  </si>
  <si>
    <t>Uzgodnienie efektywnej stawki podatkowej</t>
  </si>
  <si>
    <t>Efekt podatkowy przychodów niebędących przychodami wg przepisów podatkowych</t>
  </si>
  <si>
    <t>Efekt podatkowy kosztów niestanowiących kosztów uzyskania przychodów wg przepisów podatkowych</t>
  </si>
  <si>
    <t>Efekt podatkowy zastosowanych ulg i odliczeń</t>
  </si>
  <si>
    <t>Korekty wykazane w bieżącym okresie w odniesieniu do podatku lat ubiegłych</t>
  </si>
  <si>
    <t>*bez uwzględnienia korekty z tyt. udziału w zyskach (stratach) netto jednostek rozliczanych metodą praw własności</t>
  </si>
  <si>
    <t>Błąd dotyczył niewłaściwego ujęcia spółki Adepto w sprawozdaniu skonsolidowanym. Ponadto błędnie został wyliczony wynik związany z  utratą kontroli nad spółką Adepto</t>
  </si>
  <si>
    <t>Dotacja Predictus umowa nr UDA-RPSL.03.03.00-24-0881/16-00 (dotacja na wytworzenie wartości niematerialnej i prawnej)</t>
  </si>
  <si>
    <t>Dotacje – dodatkowe informacje</t>
  </si>
  <si>
    <t>Nota 7. ZYSK PRZYPADAJĄCY NA JEDNĄ AKCJĘ</t>
  </si>
  <si>
    <t>Nota 9. RZECZOWE AKTYWA TRWAŁE</t>
  </si>
  <si>
    <t>Nota 10. WARTOŚCI NIEMATERIALNE</t>
  </si>
  <si>
    <t>Nota 11. PRAWO DO UŻYTKOWANIA</t>
  </si>
  <si>
    <t>Nota 12. WARTOŚĆ FIRMY</t>
  </si>
  <si>
    <t>Nota 13. INWESTYCJE W JEDNOSTKACH POWIĄZANYCH WYCENIANYCH METODĄ PRAW WŁASNOŚCI</t>
  </si>
  <si>
    <t>Inwestycje w jednostkach powiązanych wycenianych metodą praw własności na dzień 31.12.2020r.</t>
  </si>
  <si>
    <t>Inwestycje w jednostkach powiązanych wycenianych metodą praw własności na dzień 31.12.2019r.</t>
  </si>
  <si>
    <t>Nota 14. AKCJE / UDZIAŁY W JEDNOSTKACH PODPORZĄDKOWANYCH NIE OBJĘTYCH KONSOLIDACJĄ</t>
  </si>
  <si>
    <t>NOTA 15. POZOSTAŁE AKTYWA TRWAŁE</t>
  </si>
  <si>
    <t>Podział instrumentów finansowych</t>
  </si>
  <si>
    <t>Nota 16. POZOSTAŁE AKTYWA FINANSOWE</t>
  </si>
  <si>
    <t>Pozycje przychodów, kosztów, zysków i strat ujęte w rachunku zysków i strat w podziale na kategorie instrumentów finansowych</t>
  </si>
  <si>
    <t xml:space="preserve">Nota 17. NALEŻNOŚCI HANDLOWE </t>
  </si>
  <si>
    <t xml:space="preserve">Nota 18. POZOSTAŁE NALEŻNOŚCI </t>
  </si>
  <si>
    <t>Nota 19. ROZLICZENIA MIĘDZYOKRESOWE</t>
  </si>
  <si>
    <t>Nota 20. ŚRODKI PIENIĘŻNE I ICH EKWIWALENTY</t>
  </si>
  <si>
    <t>Nota 21. KAPITAŁ ZAKŁADOWY</t>
  </si>
  <si>
    <t>Nota 22. POZOSTAŁE KAPITAŁY</t>
  </si>
  <si>
    <t>Nota 23. KAPITAŁ PRZYPADAJĄCY NA AKCJONARIUSZY NIEKONTROLUJĄCYCH</t>
  </si>
  <si>
    <t>Nota 24. KREDYTY I POŻYCZKI</t>
  </si>
  <si>
    <t>Zmiana stanu zadłużenia</t>
  </si>
  <si>
    <t xml:space="preserve">Nota 25. POZOSTAŁE ZOBOWIĄZANIA FINANSOWE </t>
  </si>
  <si>
    <t>Nota 26. ZOBOWIĄZANIA HANDLOWE</t>
  </si>
  <si>
    <t xml:space="preserve">Nota 27. POZOSTAŁE ZOBOWIĄZANIA </t>
  </si>
  <si>
    <t>Nota 28. Inne Rozliczenia międzyokresowe</t>
  </si>
  <si>
    <t>Nota 29. REZERWY NA ŚWIADCZENIA EMERYTALNE I PODOBNE</t>
  </si>
  <si>
    <t>Nota 30.  POZOSTAŁE REZERWY</t>
  </si>
  <si>
    <t>Nota 31. ZARZĄDZANIE RYZYKIEM</t>
  </si>
  <si>
    <t>Nota 32. WPŁYW COVID-19</t>
  </si>
  <si>
    <t>Nota 33. ZARZĄDZANIE KAPITAŁEM</t>
  </si>
  <si>
    <t>Nota 35. WYNAGRODZENIA CZŁONKÓW ZARZĄDU, RADY NADZORCZEJ I WYŻSZEJ KADRY KIEROWNICZEJ</t>
  </si>
  <si>
    <t>Nota 36. STRUKTURA ZATRUDNIENIA</t>
  </si>
  <si>
    <t xml:space="preserve">Nota 41. INFORMACJE O TRANSAKCJACH Z PODMIOTEM DOKONUJĄCYM BADANIA SPRAWOZDANIA </t>
  </si>
  <si>
    <t>Nota 42. OBJAŚNIENIA DO SPAWOZDANIA Z PRZEPŁYWÓW PIENIĘŻNYCH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</si>
</sst>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_);\(#,##0\);\-______"/>
    <numFmt numFmtId="165" formatCode="#,##0.00_);\(#,##0.00\);\-______"/>
    <numFmt numFmtId="166" formatCode="0.0%"/>
    <numFmt numFmtId="170" formatCode="0.00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23"/>
      <name val="Arial"/>
      <family val="2"/>
      <charset val="238"/>
    </font>
    <font>
      <sz val="8"/>
      <color indexed="55"/>
      <name val="Arial"/>
      <family val="2"/>
      <charset val="238"/>
    </font>
    <font>
      <i/>
      <sz val="8"/>
      <color indexed="55"/>
      <name val="Arial"/>
      <family val="2"/>
      <charset val="238"/>
    </font>
    <font>
      <b/>
      <sz val="11"/>
      <name val="Arial"/>
      <family val="2"/>
      <charset val="238"/>
    </font>
    <font>
      <i/>
      <sz val="8"/>
      <color indexed="2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color indexed="55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4">
    <xf numFmtId="0" fontId="0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2" fillId="0" borderId="0"/>
    <xf numFmtId="0" fontId="54" fillId="0" borderId="0"/>
    <xf numFmtId="0" fontId="21" fillId="0" borderId="0"/>
    <xf numFmtId="0" fontId="22" fillId="0" borderId="0"/>
    <xf numFmtId="0" fontId="5" fillId="0" borderId="0"/>
    <xf numFmtId="9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852">
    <xf numFmtId="0" fontId="0" fillId="0" borderId="0" xfId="0"/>
    <xf numFmtId="0" fontId="10" fillId="0" borderId="0" xfId="0" applyFont="1"/>
    <xf numFmtId="0" fontId="8" fillId="0" borderId="1" xfId="0" applyFont="1" applyBorder="1" applyAlignment="1">
      <alignment wrapText="1"/>
    </xf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 inden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11" fillId="0" borderId="0" xfId="8" applyNumberFormat="1" applyFont="1" applyProtection="1">
      <protection locked="0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1" fillId="0" borderId="0" xfId="7" applyFont="1"/>
    <xf numFmtId="0" fontId="21" fillId="2" borderId="0" xfId="7" applyFont="1" applyFill="1" applyAlignment="1">
      <alignment vertical="center"/>
    </xf>
    <xf numFmtId="0" fontId="2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9" fillId="0" borderId="0" xfId="7" applyFont="1" applyAlignment="1">
      <alignment wrapText="1"/>
    </xf>
    <xf numFmtId="4" fontId="29" fillId="0" borderId="0" xfId="7" applyNumberFormat="1" applyFont="1" applyAlignment="1" applyProtection="1">
      <alignment wrapText="1"/>
      <protection locked="0"/>
    </xf>
    <xf numFmtId="0" fontId="29" fillId="0" borderId="0" xfId="7" applyFont="1"/>
    <xf numFmtId="4" fontId="21" fillId="0" borderId="0" xfId="7" applyNumberFormat="1" applyFont="1" applyAlignment="1" applyProtection="1">
      <alignment wrapText="1"/>
      <protection locked="0"/>
    </xf>
    <xf numFmtId="0" fontId="21" fillId="0" borderId="0" xfId="7" applyFont="1" applyAlignment="1">
      <alignment wrapText="1"/>
    </xf>
    <xf numFmtId="4" fontId="30" fillId="0" borderId="0" xfId="7" applyNumberFormat="1" applyFont="1" applyAlignment="1" applyProtection="1">
      <alignment wrapText="1"/>
      <protection locked="0"/>
    </xf>
    <xf numFmtId="0" fontId="2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/>
    <xf numFmtId="0" fontId="29" fillId="0" borderId="0" xfId="7" applyFont="1" applyAlignment="1">
      <alignment vertical="center"/>
    </xf>
    <xf numFmtId="0" fontId="21" fillId="3" borderId="0" xfId="7" applyFont="1" applyFill="1" applyAlignment="1">
      <alignment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justify" wrapText="1"/>
    </xf>
    <xf numFmtId="0" fontId="12" fillId="0" borderId="0" xfId="2" quotePrefix="1" applyProtection="1">
      <alignment vertical="top"/>
    </xf>
    <xf numFmtId="0" fontId="21" fillId="0" borderId="0" xfId="0" applyFont="1"/>
    <xf numFmtId="0" fontId="11" fillId="0" borderId="1" xfId="0" applyFont="1" applyBorder="1" applyAlignment="1">
      <alignment horizontal="left"/>
    </xf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1" xfId="0" applyFont="1" applyBorder="1" applyAlignment="1">
      <alignment wrapText="1"/>
    </xf>
    <xf numFmtId="0" fontId="6" fillId="0" borderId="0" xfId="0" applyFont="1"/>
    <xf numFmtId="3" fontId="11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0" fontId="3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left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8" fillId="0" borderId="0" xfId="0" applyFont="1" applyAlignment="1">
      <alignment horizontal="justify"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13" fillId="0" borderId="0" xfId="0" applyFont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3" fontId="1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justify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14" fillId="0" borderId="0" xfId="0" applyFont="1"/>
    <xf numFmtId="0" fontId="6" fillId="0" borderId="1" xfId="0" applyFont="1" applyBorder="1" applyAlignment="1">
      <alignment wrapText="1"/>
    </xf>
    <xf numFmtId="3" fontId="11" fillId="0" borderId="1" xfId="0" applyNumberFormat="1" applyFont="1" applyBorder="1"/>
    <xf numFmtId="3" fontId="11" fillId="0" borderId="4" xfId="0" applyNumberFormat="1" applyFont="1" applyBorder="1"/>
    <xf numFmtId="0" fontId="15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 indent="1"/>
    </xf>
    <xf numFmtId="3" fontId="11" fillId="0" borderId="1" xfId="0" quotePrefix="1" applyNumberFormat="1" applyFont="1" applyBorder="1"/>
    <xf numFmtId="0" fontId="11" fillId="0" borderId="0" xfId="0" applyFont="1" applyAlignment="1">
      <alignment horizontal="right" wrapText="1"/>
    </xf>
    <xf numFmtId="3" fontId="10" fillId="0" borderId="0" xfId="0" quotePrefix="1" applyNumberFormat="1" applyFont="1"/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20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/>
    </xf>
    <xf numFmtId="0" fontId="11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34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left"/>
    </xf>
    <xf numFmtId="0" fontId="13" fillId="0" borderId="0" xfId="0" applyFont="1" applyAlignment="1">
      <alignment horizontal="justify"/>
    </xf>
    <xf numFmtId="0" fontId="11" fillId="4" borderId="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horizontal="left" wrapText="1"/>
    </xf>
    <xf numFmtId="0" fontId="8" fillId="0" borderId="1" xfId="0" quotePrefix="1" applyFont="1" applyBorder="1" applyAlignment="1">
      <alignment vertical="top" wrapText="1"/>
    </xf>
    <xf numFmtId="0" fontId="17" fillId="0" borderId="0" xfId="0" applyFont="1"/>
    <xf numFmtId="0" fontId="9" fillId="0" borderId="0" xfId="0" applyFont="1" applyAlignment="1">
      <alignment horizontal="justify"/>
    </xf>
    <xf numFmtId="0" fontId="6" fillId="0" borderId="1" xfId="0" quotePrefix="1" applyFont="1" applyBorder="1"/>
    <xf numFmtId="3" fontId="11" fillId="0" borderId="1" xfId="0" applyNumberFormat="1" applyFont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1" fillId="0" borderId="1" xfId="8" applyNumberFormat="1" applyFont="1" applyBorder="1" applyProtection="1">
      <protection locked="0"/>
    </xf>
    <xf numFmtId="3" fontId="11" fillId="0" borderId="1" xfId="8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justify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18" fillId="0" borderId="0" xfId="0" applyFont="1" applyAlignment="1">
      <alignment horizontal="justify" wrapText="1"/>
    </xf>
    <xf numFmtId="49" fontId="34" fillId="0" borderId="1" xfId="0" applyNumberFormat="1" applyFont="1" applyBorder="1" applyAlignment="1">
      <alignment wrapText="1"/>
    </xf>
    <xf numFmtId="164" fontId="11" fillId="4" borderId="1" xfId="8" applyNumberFormat="1" applyFont="1" applyFill="1" applyBorder="1" applyAlignment="1" applyProtection="1">
      <alignment horizontal="center" vertical="center"/>
      <protection locked="0"/>
    </xf>
    <xf numFmtId="166" fontId="11" fillId="0" borderId="0" xfId="8" applyNumberFormat="1" applyFont="1" applyProtection="1">
      <protection locked="0"/>
    </xf>
    <xf numFmtId="0" fontId="11" fillId="4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3" fontId="11" fillId="0" borderId="0" xfId="8" applyNumberFormat="1" applyFont="1" applyProtection="1">
      <protection locked="0"/>
    </xf>
    <xf numFmtId="3" fontId="11" fillId="0" borderId="1" xfId="0" applyNumberFormat="1" applyFont="1" applyBorder="1" applyAlignment="1">
      <alignment horizontal="right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3" fontId="8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horizontal="center" vertical="center" wrapText="1"/>
    </xf>
    <xf numFmtId="3" fontId="11" fillId="0" borderId="1" xfId="0" quotePrefix="1" applyNumberFormat="1" applyFont="1" applyBorder="1" applyAlignment="1">
      <alignment vertical="center"/>
    </xf>
    <xf numFmtId="3" fontId="11" fillId="0" borderId="3" xfId="0" applyNumberFormat="1" applyFont="1" applyBorder="1"/>
    <xf numFmtId="3" fontId="11" fillId="0" borderId="5" xfId="0" applyNumberFormat="1" applyFont="1" applyBorder="1"/>
    <xf numFmtId="3" fontId="6" fillId="0" borderId="1" xfId="8" applyNumberFormat="1" applyFont="1" applyBorder="1" applyProtection="1">
      <protection locked="0"/>
    </xf>
    <xf numFmtId="0" fontId="0" fillId="4" borderId="0" xfId="0" applyFill="1"/>
    <xf numFmtId="0" fontId="15" fillId="0" borderId="1" xfId="0" applyFont="1" applyBorder="1" applyAlignment="1">
      <alignment wrapText="1"/>
    </xf>
    <xf numFmtId="165" fontId="11" fillId="0" borderId="0" xfId="0" applyNumberFormat="1" applyFont="1"/>
    <xf numFmtId="3" fontId="11" fillId="0" borderId="1" xfId="0" applyNumberFormat="1" applyFont="1" applyBorder="1" applyAlignment="1">
      <alignment horizontal="right" vertical="center"/>
    </xf>
    <xf numFmtId="3" fontId="11" fillId="0" borderId="3" xfId="8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0" fontId="8" fillId="0" borderId="7" xfId="0" applyFont="1" applyBorder="1" applyAlignment="1">
      <alignment vertical="top" wrapText="1"/>
    </xf>
    <xf numFmtId="3" fontId="8" fillId="0" borderId="8" xfId="0" applyNumberFormat="1" applyFont="1" applyBorder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 indent="3"/>
    </xf>
    <xf numFmtId="0" fontId="14" fillId="0" borderId="1" xfId="0" applyFont="1" applyBorder="1" applyAlignment="1">
      <alignment horizontal="left" wrapText="1"/>
    </xf>
    <xf numFmtId="0" fontId="24" fillId="0" borderId="0" xfId="2" quotePrefix="1" applyFont="1" applyProtection="1">
      <alignment vertical="top"/>
    </xf>
    <xf numFmtId="0" fontId="6" fillId="0" borderId="0" xfId="7" applyFont="1"/>
    <xf numFmtId="0" fontId="37" fillId="0" borderId="0" xfId="2" quotePrefix="1" applyFont="1" applyProtection="1">
      <alignment vertical="top"/>
    </xf>
    <xf numFmtId="0" fontId="31" fillId="0" borderId="0" xfId="7" applyFont="1"/>
    <xf numFmtId="0" fontId="31" fillId="2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49" fontId="31" fillId="0" borderId="1" xfId="7" applyNumberFormat="1" applyFont="1" applyBorder="1" applyAlignment="1">
      <alignment vertical="center" wrapText="1"/>
    </xf>
    <xf numFmtId="0" fontId="31" fillId="0" borderId="0" xfId="7" applyFont="1" applyAlignment="1">
      <alignment vertical="center"/>
    </xf>
    <xf numFmtId="49" fontId="11" fillId="0" borderId="1" xfId="7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49" fontId="31" fillId="0" borderId="1" xfId="7" applyNumberFormat="1" applyFont="1" applyBorder="1" applyAlignment="1">
      <alignment horizontal="left" vertical="center" wrapText="1"/>
    </xf>
    <xf numFmtId="0" fontId="31" fillId="0" borderId="0" xfId="7" applyFont="1" applyAlignment="1">
      <alignment wrapText="1"/>
    </xf>
    <xf numFmtId="4" fontId="31" fillId="0" borderId="0" xfId="7" applyNumberFormat="1" applyFont="1" applyAlignment="1" applyProtection="1">
      <alignment wrapText="1"/>
      <protection locked="0"/>
    </xf>
    <xf numFmtId="0" fontId="31" fillId="0" borderId="0" xfId="0" applyFont="1" applyAlignment="1">
      <alignment horizontal="left"/>
    </xf>
    <xf numFmtId="0" fontId="11" fillId="4" borderId="1" xfId="7" applyFont="1" applyFill="1" applyBorder="1" applyAlignment="1">
      <alignment horizontal="center" vertical="center" wrapText="1"/>
    </xf>
    <xf numFmtId="49" fontId="11" fillId="0" borderId="1" xfId="7" applyNumberFormat="1" applyFont="1" applyBorder="1" applyAlignment="1">
      <alignment vertical="center" wrapText="1"/>
    </xf>
    <xf numFmtId="49" fontId="6" fillId="0" borderId="1" xfId="7" applyNumberFormat="1" applyFont="1" applyBorder="1" applyAlignment="1">
      <alignment horizontal="center" vertical="center" wrapText="1"/>
    </xf>
    <xf numFmtId="49" fontId="15" fillId="0" borderId="1" xfId="7" applyNumberFormat="1" applyFont="1" applyBorder="1" applyAlignment="1">
      <alignment horizontal="left" vertical="center" wrapText="1"/>
    </xf>
    <xf numFmtId="49" fontId="15" fillId="0" borderId="1" xfId="7" applyNumberFormat="1" applyFont="1" applyBorder="1" applyAlignment="1">
      <alignment vertical="center" wrapText="1"/>
    </xf>
    <xf numFmtId="0" fontId="6" fillId="0" borderId="0" xfId="7" applyFont="1" applyAlignment="1">
      <alignment vertical="center"/>
    </xf>
    <xf numFmtId="49" fontId="31" fillId="0" borderId="1" xfId="7" applyNumberFormat="1" applyFont="1" applyBorder="1" applyAlignment="1">
      <alignment wrapText="1"/>
    </xf>
    <xf numFmtId="49" fontId="11" fillId="4" borderId="1" xfId="7" applyNumberFormat="1" applyFont="1" applyFill="1" applyBorder="1" applyAlignment="1">
      <alignment horizontal="center" vertical="center" wrapText="1"/>
    </xf>
    <xf numFmtId="49" fontId="11" fillId="4" borderId="4" xfId="7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justify" vertical="center"/>
    </xf>
    <xf numFmtId="0" fontId="33" fillId="0" borderId="0" xfId="0" applyFont="1"/>
    <xf numFmtId="0" fontId="31" fillId="0" borderId="1" xfId="0" applyFont="1" applyBorder="1" applyAlignment="1">
      <alignment horizontal="left" wrapText="1"/>
    </xf>
    <xf numFmtId="3" fontId="33" fillId="0" borderId="1" xfId="0" applyNumberFormat="1" applyFont="1" applyBorder="1"/>
    <xf numFmtId="0" fontId="31" fillId="0" borderId="0" xfId="0" applyFont="1" applyAlignment="1">
      <alignment wrapText="1"/>
    </xf>
    <xf numFmtId="0" fontId="35" fillId="0" borderId="0" xfId="0" applyFont="1" applyAlignment="1">
      <alignment wrapText="1"/>
    </xf>
    <xf numFmtId="3" fontId="6" fillId="0" borderId="1" xfId="0" applyNumberFormat="1" applyFont="1" applyBorder="1"/>
    <xf numFmtId="0" fontId="15" fillId="0" borderId="0" xfId="0" applyFont="1" applyAlignment="1">
      <alignment horizontal="left" wrapText="1"/>
    </xf>
    <xf numFmtId="3" fontId="15" fillId="0" borderId="1" xfId="0" applyNumberFormat="1" applyFont="1" applyBorder="1"/>
    <xf numFmtId="49" fontId="6" fillId="0" borderId="3" xfId="0" applyNumberFormat="1" applyFont="1" applyBorder="1" applyAlignment="1">
      <alignment wrapText="1"/>
    </xf>
    <xf numFmtId="49" fontId="15" fillId="0" borderId="1" xfId="0" applyNumberFormat="1" applyFont="1" applyBorder="1" applyAlignment="1">
      <alignment wrapText="1"/>
    </xf>
    <xf numFmtId="3" fontId="31" fillId="0" borderId="1" xfId="0" applyNumberFormat="1" applyFont="1" applyBorder="1"/>
    <xf numFmtId="0" fontId="23" fillId="0" borderId="0" xfId="0" applyFont="1"/>
    <xf numFmtId="0" fontId="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3" fontId="31" fillId="0" borderId="1" xfId="8" applyNumberFormat="1" applyFont="1" applyBorder="1" applyProtection="1">
      <protection locked="0"/>
    </xf>
    <xf numFmtId="0" fontId="36" fillId="0" borderId="0" xfId="0" applyFont="1"/>
    <xf numFmtId="3" fontId="38" fillId="0" borderId="1" xfId="0" applyNumberFormat="1" applyFont="1" applyBorder="1"/>
    <xf numFmtId="0" fontId="36" fillId="0" borderId="0" xfId="0" applyFont="1" applyAlignment="1">
      <alignment vertical="center"/>
    </xf>
    <xf numFmtId="3" fontId="36" fillId="0" borderId="1" xfId="0" applyNumberFormat="1" applyFont="1" applyBorder="1"/>
    <xf numFmtId="0" fontId="38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3" fontId="31" fillId="0" borderId="0" xfId="0" applyNumberFormat="1" applyFont="1"/>
    <xf numFmtId="3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9" fontId="8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31" fillId="0" borderId="1" xfId="0" applyFont="1" applyBorder="1" applyAlignment="1">
      <alignment wrapText="1"/>
    </xf>
    <xf numFmtId="3" fontId="6" fillId="0" borderId="3" xfId="8" applyNumberFormat="1" applyFont="1" applyBorder="1" applyProtection="1">
      <protection locked="0"/>
    </xf>
    <xf numFmtId="3" fontId="31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15" fillId="0" borderId="1" xfId="8" applyNumberFormat="1" applyFont="1" applyBorder="1" applyProtection="1">
      <protection locked="0"/>
    </xf>
    <xf numFmtId="0" fontId="31" fillId="4" borderId="1" xfId="0" applyFont="1" applyFill="1" applyBorder="1" applyAlignment="1">
      <alignment horizontal="center"/>
    </xf>
    <xf numFmtId="3" fontId="31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 wrapText="1"/>
    </xf>
    <xf numFmtId="3" fontId="8" fillId="0" borderId="1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 vertical="center"/>
    </xf>
    <xf numFmtId="3" fontId="10" fillId="0" borderId="0" xfId="0" applyNumberFormat="1" applyFont="1"/>
    <xf numFmtId="3" fontId="11" fillId="0" borderId="1" xfId="8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justify" vertical="center"/>
    </xf>
    <xf numFmtId="3" fontId="6" fillId="0" borderId="1" xfId="0" quotePrefix="1" applyNumberFormat="1" applyFont="1" applyBorder="1"/>
    <xf numFmtId="0" fontId="40" fillId="0" borderId="0" xfId="2" quotePrefix="1" applyFont="1" applyProtection="1">
      <alignment vertical="top"/>
    </xf>
    <xf numFmtId="0" fontId="39" fillId="0" borderId="0" xfId="0" applyFont="1"/>
    <xf numFmtId="0" fontId="38" fillId="0" borderId="0" xfId="0" applyFont="1"/>
    <xf numFmtId="0" fontId="36" fillId="0" borderId="1" xfId="0" applyFont="1" applyBorder="1" applyAlignment="1">
      <alignment horizontal="left" vertical="center"/>
    </xf>
    <xf numFmtId="3" fontId="36" fillId="0" borderId="1" xfId="0" applyNumberFormat="1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horizontal="right" wrapText="1"/>
    </xf>
    <xf numFmtId="164" fontId="38" fillId="4" borderId="1" xfId="8" applyNumberFormat="1" applyFont="1" applyFill="1" applyBorder="1" applyAlignment="1" applyProtection="1">
      <alignment horizontal="center" vertical="center" wrapText="1"/>
      <protection locked="0"/>
    </xf>
    <xf numFmtId="164" fontId="38" fillId="4" borderId="10" xfId="8" applyNumberFormat="1" applyFont="1" applyFill="1" applyBorder="1" applyAlignment="1" applyProtection="1">
      <alignment horizontal="center" vertical="center" wrapText="1"/>
      <protection locked="0"/>
    </xf>
    <xf numFmtId="164" fontId="38" fillId="4" borderId="4" xfId="8" applyNumberFormat="1" applyFont="1" applyFill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>
      <alignment vertical="center"/>
    </xf>
    <xf numFmtId="0" fontId="39" fillId="0" borderId="1" xfId="0" applyFont="1" applyBorder="1" applyAlignment="1">
      <alignment wrapText="1"/>
    </xf>
    <xf numFmtId="3" fontId="39" fillId="0" borderId="1" xfId="0" applyNumberFormat="1" applyFont="1" applyBorder="1"/>
    <xf numFmtId="0" fontId="41" fillId="0" borderId="0" xfId="0" applyFont="1"/>
    <xf numFmtId="0" fontId="36" fillId="0" borderId="1" xfId="0" applyFont="1" applyBorder="1" applyAlignment="1">
      <alignment wrapText="1"/>
    </xf>
    <xf numFmtId="3" fontId="38" fillId="0" borderId="5" xfId="0" applyNumberFormat="1" applyFont="1" applyBorder="1" applyAlignment="1">
      <alignment vertical="center"/>
    </xf>
    <xf numFmtId="3" fontId="38" fillId="0" borderId="5" xfId="0" applyNumberFormat="1" applyFont="1" applyBorder="1"/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wrapText="1"/>
    </xf>
    <xf numFmtId="0" fontId="43" fillId="0" borderId="0" xfId="0" applyFont="1"/>
    <xf numFmtId="0" fontId="44" fillId="0" borderId="0" xfId="0" applyFont="1" applyAlignment="1">
      <alignment wrapText="1"/>
    </xf>
    <xf numFmtId="0" fontId="42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2" fillId="0" borderId="0" xfId="0" applyFont="1" applyAlignment="1" applyProtection="1">
      <alignment horizontal="center" wrapText="1"/>
      <protection locked="0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3" fillId="0" borderId="0" xfId="7" applyFont="1" applyAlignment="1">
      <alignment vertical="center"/>
    </xf>
    <xf numFmtId="49" fontId="15" fillId="0" borderId="1" xfId="7" applyNumberFormat="1" applyFont="1" applyBorder="1" applyAlignment="1">
      <alignment horizontal="center" vertical="center" wrapText="1"/>
    </xf>
    <xf numFmtId="3" fontId="11" fillId="0" borderId="1" xfId="7" applyNumberFormat="1" applyFont="1" applyBorder="1" applyAlignment="1">
      <alignment horizontal="right" vertical="center" wrapText="1"/>
    </xf>
    <xf numFmtId="3" fontId="31" fillId="0" borderId="1" xfId="7" applyNumberFormat="1" applyFont="1" applyBorder="1" applyAlignment="1" applyProtection="1">
      <alignment horizontal="right" vertical="center" wrapText="1"/>
      <protection locked="0"/>
    </xf>
    <xf numFmtId="3" fontId="11" fillId="0" borderId="1" xfId="7" applyNumberFormat="1" applyFont="1" applyBorder="1" applyAlignment="1" applyProtection="1">
      <alignment horizontal="right" vertical="center" wrapText="1"/>
      <protection locked="0"/>
    </xf>
    <xf numFmtId="3" fontId="31" fillId="0" borderId="1" xfId="7" applyNumberFormat="1" applyFont="1" applyBorder="1" applyAlignment="1">
      <alignment horizontal="right" vertical="center" wrapText="1"/>
    </xf>
    <xf numFmtId="3" fontId="15" fillId="0" borderId="1" xfId="7" applyNumberFormat="1" applyFont="1" applyBorder="1" applyAlignment="1">
      <alignment horizontal="right" vertical="center" wrapText="1"/>
    </xf>
    <xf numFmtId="3" fontId="6" fillId="0" borderId="1" xfId="7" applyNumberFormat="1" applyFont="1" applyBorder="1" applyAlignment="1">
      <alignment horizontal="right" vertical="center" wrapText="1"/>
    </xf>
    <xf numFmtId="3" fontId="15" fillId="0" borderId="1" xfId="7" applyNumberFormat="1" applyFont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>
      <alignment horizontal="left" vertical="center" wrapText="1"/>
    </xf>
    <xf numFmtId="3" fontId="31" fillId="0" borderId="1" xfId="0" applyNumberFormat="1" applyFont="1" applyBorder="1" applyAlignment="1">
      <alignment horizontal="left" vertical="center"/>
    </xf>
    <xf numFmtId="3" fontId="3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left" vertical="center"/>
    </xf>
    <xf numFmtId="3" fontId="11" fillId="0" borderId="1" xfId="7" applyNumberFormat="1" applyFont="1" applyBorder="1" applyAlignment="1">
      <alignment horizontal="right" vertical="center"/>
    </xf>
    <xf numFmtId="3" fontId="6" fillId="0" borderId="1" xfId="7" applyNumberFormat="1" applyFont="1" applyBorder="1" applyAlignment="1">
      <alignment horizontal="right" vertical="center"/>
    </xf>
    <xf numFmtId="3" fontId="31" fillId="0" borderId="1" xfId="7" applyNumberFormat="1" applyFont="1" applyBorder="1" applyAlignment="1" applyProtection="1">
      <alignment horizontal="right" vertical="center"/>
      <protection locked="0"/>
    </xf>
    <xf numFmtId="3" fontId="11" fillId="0" borderId="1" xfId="7" applyNumberFormat="1" applyFont="1" applyBorder="1" applyAlignment="1">
      <alignment horizontal="left" vertical="center" wrapText="1" indent="1"/>
    </xf>
    <xf numFmtId="3" fontId="31" fillId="0" borderId="1" xfId="7" applyNumberFormat="1" applyFont="1" applyBorder="1" applyAlignment="1">
      <alignment horizontal="left" vertical="center" wrapText="1" indent="1"/>
    </xf>
    <xf numFmtId="3" fontId="11" fillId="0" borderId="1" xfId="7" applyNumberFormat="1" applyFont="1" applyBorder="1" applyAlignment="1">
      <alignment vertical="center" wrapText="1"/>
    </xf>
    <xf numFmtId="3" fontId="11" fillId="0" borderId="1" xfId="7" applyNumberFormat="1" applyFont="1" applyBorder="1" applyAlignment="1">
      <alignment horizontal="left" vertical="center" indent="1"/>
    </xf>
    <xf numFmtId="3" fontId="11" fillId="3" borderId="1" xfId="7" applyNumberFormat="1" applyFont="1" applyFill="1" applyBorder="1" applyAlignment="1">
      <alignment horizontal="right" vertical="center"/>
    </xf>
    <xf numFmtId="3" fontId="11" fillId="0" borderId="1" xfId="7" applyNumberFormat="1" applyFont="1" applyBorder="1" applyAlignment="1" applyProtection="1">
      <alignment vertical="center" wrapText="1"/>
      <protection locked="0"/>
    </xf>
    <xf numFmtId="3" fontId="11" fillId="0" borderId="1" xfId="7" applyNumberFormat="1" applyFont="1" applyBorder="1" applyAlignment="1">
      <alignment horizontal="left" vertical="center" wrapText="1"/>
    </xf>
    <xf numFmtId="3" fontId="31" fillId="0" borderId="1" xfId="7" applyNumberFormat="1" applyFont="1" applyBorder="1" applyAlignment="1">
      <alignment horizontal="left" vertical="center" wrapText="1"/>
    </xf>
    <xf numFmtId="3" fontId="6" fillId="5" borderId="0" xfId="0" applyNumberFormat="1" applyFont="1" applyFill="1" applyAlignment="1">
      <alignment horizontal="right" wrapText="1"/>
    </xf>
    <xf numFmtId="3" fontId="31" fillId="5" borderId="0" xfId="0" applyNumberFormat="1" applyFont="1" applyFill="1"/>
    <xf numFmtId="3" fontId="8" fillId="5" borderId="0" xfId="0" applyNumberFormat="1" applyFont="1" applyFill="1" applyAlignment="1">
      <alignment horizontal="right" vertical="top" wrapText="1"/>
    </xf>
    <xf numFmtId="3" fontId="8" fillId="5" borderId="0" xfId="0" applyNumberFormat="1" applyFont="1" applyFill="1" applyAlignment="1">
      <alignment vertical="top" wrapText="1"/>
    </xf>
    <xf numFmtId="0" fontId="6" fillId="0" borderId="0" xfId="0" applyFont="1" applyAlignment="1">
      <alignment horizontal="justify"/>
    </xf>
    <xf numFmtId="3" fontId="10" fillId="5" borderId="0" xfId="0" applyNumberFormat="1" applyFont="1" applyFill="1"/>
    <xf numFmtId="3" fontId="36" fillId="5" borderId="0" xfId="0" applyNumberFormat="1" applyFont="1" applyFill="1"/>
    <xf numFmtId="3" fontId="38" fillId="0" borderId="11" xfId="0" applyNumberFormat="1" applyFont="1" applyBorder="1" applyAlignment="1">
      <alignment vertical="center"/>
    </xf>
    <xf numFmtId="3" fontId="36" fillId="0" borderId="0" xfId="0" applyNumberFormat="1" applyFont="1"/>
    <xf numFmtId="3" fontId="11" fillId="0" borderId="11" xfId="0" applyNumberFormat="1" applyFont="1" applyBorder="1"/>
    <xf numFmtId="3" fontId="6" fillId="5" borderId="0" xfId="0" applyNumberFormat="1" applyFont="1" applyFill="1"/>
    <xf numFmtId="3" fontId="11" fillId="0" borderId="0" xfId="0" applyNumberFormat="1" applyFont="1" applyAlignment="1">
      <alignment vertical="center" wrapText="1"/>
    </xf>
    <xf numFmtId="3" fontId="31" fillId="0" borderId="1" xfId="8" applyNumberFormat="1" applyFont="1" applyBorder="1" applyAlignment="1" applyProtection="1">
      <alignment wrapText="1"/>
      <protection locked="0"/>
    </xf>
    <xf numFmtId="3" fontId="11" fillId="0" borderId="0" xfId="1" applyNumberFormat="1" applyFont="1" applyProtection="1">
      <protection locked="0"/>
    </xf>
    <xf numFmtId="0" fontId="34" fillId="0" borderId="0" xfId="0" applyFont="1" applyAlignment="1">
      <alignment horizontal="right" vertical="center"/>
    </xf>
    <xf numFmtId="3" fontId="6" fillId="5" borderId="0" xfId="0" applyNumberFormat="1" applyFont="1" applyFill="1" applyAlignment="1">
      <alignment horizontal="right" vertical="center" wrapText="1"/>
    </xf>
    <xf numFmtId="3" fontId="6" fillId="5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3" fontId="21" fillId="0" borderId="0" xfId="7" applyNumberFormat="1" applyFont="1"/>
    <xf numFmtId="3" fontId="26" fillId="0" borderId="8" xfId="7" applyNumberFormat="1" applyFont="1" applyBorder="1" applyAlignment="1">
      <alignment vertical="center" wrapText="1"/>
    </xf>
    <xf numFmtId="3" fontId="11" fillId="4" borderId="1" xfId="7" applyNumberFormat="1" applyFont="1" applyFill="1" applyBorder="1" applyAlignment="1">
      <alignment horizontal="center" vertical="center" wrapText="1"/>
    </xf>
    <xf numFmtId="3" fontId="21" fillId="0" borderId="0" xfId="7" applyNumberFormat="1" applyFont="1" applyAlignment="1" applyProtection="1">
      <alignment wrapText="1"/>
      <protection locked="0"/>
    </xf>
    <xf numFmtId="3" fontId="29" fillId="0" borderId="0" xfId="7" applyNumberFormat="1" applyFont="1" applyAlignment="1" applyProtection="1">
      <alignment wrapText="1"/>
      <protection locked="0"/>
    </xf>
    <xf numFmtId="3" fontId="30" fillId="0" borderId="0" xfId="7" applyNumberFormat="1" applyFont="1" applyAlignment="1" applyProtection="1">
      <alignment wrapText="1"/>
      <protection locked="0"/>
    </xf>
    <xf numFmtId="3" fontId="0" fillId="0" borderId="0" xfId="0" applyNumberFormat="1" applyAlignment="1">
      <alignment vertical="top"/>
    </xf>
    <xf numFmtId="3" fontId="7" fillId="4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justify" vertical="top" wrapText="1"/>
    </xf>
    <xf numFmtId="3" fontId="0" fillId="0" borderId="0" xfId="0" applyNumberFormat="1"/>
    <xf numFmtId="3" fontId="8" fillId="0" borderId="0" xfId="0" applyNumberFormat="1" applyFont="1" applyAlignment="1">
      <alignment vertical="top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wrapText="1" indent="3"/>
    </xf>
    <xf numFmtId="0" fontId="11" fillId="0" borderId="3" xfId="0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right"/>
    </xf>
    <xf numFmtId="14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36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horizontal="justify" wrapText="1"/>
    </xf>
    <xf numFmtId="0" fontId="23" fillId="0" borderId="0" xfId="0" applyFont="1" applyAlignment="1">
      <alignment wrapText="1"/>
    </xf>
    <xf numFmtId="0" fontId="15" fillId="0" borderId="0" xfId="7" applyFont="1" applyAlignment="1">
      <alignment vertical="center"/>
    </xf>
    <xf numFmtId="0" fontId="31" fillId="0" borderId="1" xfId="7" applyFont="1" applyBorder="1" applyAlignment="1">
      <alignment wrapText="1"/>
    </xf>
    <xf numFmtId="0" fontId="15" fillId="0" borderId="0" xfId="7" applyFont="1"/>
    <xf numFmtId="0" fontId="11" fillId="0" borderId="0" xfId="7" applyFont="1"/>
    <xf numFmtId="0" fontId="48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6" fillId="3" borderId="0" xfId="0" applyFont="1" applyFill="1"/>
    <xf numFmtId="9" fontId="11" fillId="0" borderId="1" xfId="9" applyFont="1" applyBorder="1" applyAlignment="1">
      <alignment horizontal="right" wrapText="1"/>
    </xf>
    <xf numFmtId="3" fontId="6" fillId="0" borderId="0" xfId="0" applyNumberFormat="1" applyFont="1" applyAlignment="1">
      <alignment horizontal="right" vertical="center" wrapText="1"/>
    </xf>
    <xf numFmtId="3" fontId="11" fillId="0" borderId="5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34" fillId="0" borderId="1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vertical="center"/>
    </xf>
    <xf numFmtId="49" fontId="34" fillId="0" borderId="1" xfId="0" applyNumberFormat="1" applyFont="1" applyBorder="1" applyAlignment="1">
      <alignment vertical="top" wrapText="1"/>
    </xf>
    <xf numFmtId="3" fontId="11" fillId="0" borderId="0" xfId="8" applyNumberFormat="1" applyFont="1" applyAlignment="1" applyProtection="1">
      <alignment vertical="center"/>
      <protection locked="0"/>
    </xf>
    <xf numFmtId="3" fontId="11" fillId="0" borderId="2" xfId="0" applyNumberFormat="1" applyFont="1" applyBorder="1"/>
    <xf numFmtId="49" fontId="6" fillId="0" borderId="1" xfId="0" applyNumberFormat="1" applyFont="1" applyBorder="1" applyAlignment="1">
      <alignment horizontal="left" indent="1"/>
    </xf>
    <xf numFmtId="49" fontId="6" fillId="0" borderId="1" xfId="0" applyNumberFormat="1" applyFont="1" applyBorder="1" applyAlignment="1">
      <alignment vertical="top" wrapText="1"/>
    </xf>
    <xf numFmtId="3" fontId="6" fillId="0" borderId="0" xfId="0" applyNumberFormat="1" applyFont="1"/>
    <xf numFmtId="0" fontId="6" fillId="4" borderId="1" xfId="0" applyFont="1" applyFill="1" applyBorder="1" applyAlignment="1">
      <alignment horizontal="center"/>
    </xf>
    <xf numFmtId="49" fontId="6" fillId="0" borderId="1" xfId="7" applyNumberFormat="1" applyFont="1" applyBorder="1" applyAlignment="1">
      <alignment horizontal="left" vertical="center" wrapText="1"/>
    </xf>
    <xf numFmtId="49" fontId="21" fillId="0" borderId="0" xfId="7" applyNumberFormat="1" applyFont="1"/>
    <xf numFmtId="49" fontId="21" fillId="0" borderId="0" xfId="7" applyNumberFormat="1" applyFont="1" applyAlignment="1">
      <alignment wrapText="1"/>
    </xf>
    <xf numFmtId="49" fontId="21" fillId="0" borderId="0" xfId="0" applyNumberFormat="1" applyFont="1" applyAlignment="1">
      <alignment horizontal="left"/>
    </xf>
    <xf numFmtId="49" fontId="6" fillId="0" borderId="1" xfId="7" applyNumberFormat="1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/>
    </xf>
    <xf numFmtId="49" fontId="8" fillId="3" borderId="1" xfId="0" quotePrefix="1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3" fontId="6" fillId="3" borderId="0" xfId="0" applyNumberFormat="1" applyFont="1" applyFill="1"/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top" wrapText="1"/>
    </xf>
    <xf numFmtId="3" fontId="11" fillId="3" borderId="1" xfId="0" applyNumberFormat="1" applyFont="1" applyFill="1" applyBorder="1"/>
    <xf numFmtId="0" fontId="42" fillId="7" borderId="14" xfId="0" applyFont="1" applyFill="1" applyBorder="1" applyAlignment="1">
      <alignment horizontal="center" vertical="center" wrapText="1"/>
    </xf>
    <xf numFmtId="0" fontId="42" fillId="8" borderId="14" xfId="0" applyFont="1" applyFill="1" applyBorder="1" applyAlignment="1">
      <alignment horizontal="center" vertical="center"/>
    </xf>
    <xf numFmtId="0" fontId="42" fillId="7" borderId="0" xfId="0" applyFont="1" applyFill="1" applyAlignment="1" applyProtection="1">
      <alignment horizontal="center"/>
      <protection locked="0"/>
    </xf>
    <xf numFmtId="0" fontId="43" fillId="8" borderId="0" xfId="0" applyFont="1" applyFill="1" applyAlignment="1">
      <alignment horizontal="center"/>
    </xf>
    <xf numFmtId="0" fontId="45" fillId="7" borderId="0" xfId="0" applyFont="1" applyFill="1" applyAlignment="1" applyProtection="1">
      <alignment horizontal="center"/>
      <protection locked="0"/>
    </xf>
    <xf numFmtId="0" fontId="43" fillId="7" borderId="0" xfId="0" applyFont="1" applyFill="1" applyAlignment="1">
      <alignment horizontal="center"/>
    </xf>
    <xf numFmtId="0" fontId="45" fillId="8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1" xfId="0" quotePrefix="1" applyFont="1" applyBorder="1" applyAlignment="1">
      <alignment wrapText="1"/>
    </xf>
    <xf numFmtId="0" fontId="48" fillId="0" borderId="0" xfId="0" applyFont="1"/>
    <xf numFmtId="0" fontId="31" fillId="0" borderId="1" xfId="0" applyFont="1" applyBorder="1" applyAlignment="1">
      <alignment horizontal="left" vertical="center" wrapText="1"/>
    </xf>
    <xf numFmtId="0" fontId="6" fillId="0" borderId="0" xfId="2" quotePrefix="1" applyFont="1" applyProtection="1">
      <alignment vertical="top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quotePrefix="1" applyFont="1"/>
    <xf numFmtId="49" fontId="15" fillId="0" borderId="6" xfId="7" applyNumberFormat="1" applyFont="1" applyBorder="1" applyAlignment="1">
      <alignment vertical="center" wrapText="1"/>
    </xf>
    <xf numFmtId="0" fontId="14" fillId="0" borderId="0" xfId="7" applyFont="1" applyAlignment="1">
      <alignment vertical="center"/>
    </xf>
    <xf numFmtId="3" fontId="6" fillId="0" borderId="1" xfId="7" applyNumberFormat="1" applyFont="1" applyBorder="1" applyAlignment="1" applyProtection="1">
      <alignment horizontal="right" vertical="center" wrapText="1"/>
      <protection locked="0"/>
    </xf>
    <xf numFmtId="3" fontId="15" fillId="0" borderId="1" xfId="7" applyNumberFormat="1" applyFont="1" applyBorder="1" applyAlignment="1" applyProtection="1">
      <alignment wrapText="1"/>
      <protection locked="0"/>
    </xf>
    <xf numFmtId="3" fontId="31" fillId="0" borderId="1" xfId="7" applyNumberFormat="1" applyFont="1" applyBorder="1" applyAlignment="1" applyProtection="1">
      <alignment wrapText="1"/>
      <protection locked="0"/>
    </xf>
    <xf numFmtId="3" fontId="11" fillId="0" borderId="1" xfId="7" applyNumberFormat="1" applyFont="1" applyBorder="1" applyAlignment="1" applyProtection="1">
      <alignment wrapText="1"/>
      <protection locked="0"/>
    </xf>
    <xf numFmtId="3" fontId="6" fillId="0" borderId="1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vertical="center" wrapText="1"/>
    </xf>
    <xf numFmtId="3" fontId="6" fillId="0" borderId="1" xfId="7" applyNumberFormat="1" applyFont="1" applyBorder="1" applyAlignment="1">
      <alignment horizontal="left" vertical="center" wrapText="1" indent="1"/>
    </xf>
    <xf numFmtId="3" fontId="6" fillId="0" borderId="1" xfId="7" applyNumberFormat="1" applyFont="1" applyBorder="1" applyAlignment="1" applyProtection="1">
      <alignment vertical="center" wrapText="1"/>
      <protection locked="0"/>
    </xf>
    <xf numFmtId="3" fontId="6" fillId="0" borderId="1" xfId="7" applyNumberFormat="1" applyFont="1" applyBorder="1" applyAlignment="1">
      <alignment vertical="center" wrapText="1"/>
    </xf>
    <xf numFmtId="3" fontId="6" fillId="5" borderId="0" xfId="0" applyNumberFormat="1" applyFont="1" applyFill="1" applyAlignment="1">
      <alignment vertical="top" wrapText="1"/>
    </xf>
    <xf numFmtId="3" fontId="8" fillId="0" borderId="4" xfId="0" applyNumberFormat="1" applyFont="1" applyBorder="1" applyAlignment="1">
      <alignment horizontal="right" vertical="center" wrapText="1"/>
    </xf>
    <xf numFmtId="164" fontId="11" fillId="4" borderId="1" xfId="8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8" applyNumberFormat="1" applyFont="1" applyProtection="1">
      <protection locked="0"/>
    </xf>
    <xf numFmtId="165" fontId="6" fillId="0" borderId="0" xfId="0" applyNumberFormat="1" applyFont="1"/>
    <xf numFmtId="0" fontId="11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justify" wrapText="1"/>
    </xf>
    <xf numFmtId="3" fontId="8" fillId="0" borderId="4" xfId="0" applyNumberFormat="1" applyFont="1" applyBorder="1" applyAlignment="1">
      <alignment horizontal="right"/>
    </xf>
    <xf numFmtId="0" fontId="5" fillId="0" borderId="0" xfId="0" applyFont="1"/>
    <xf numFmtId="4" fontId="6" fillId="0" borderId="1" xfId="7" applyNumberFormat="1" applyFont="1" applyBorder="1" applyAlignment="1">
      <alignment horizontal="right" vertical="center" wrapText="1"/>
    </xf>
    <xf numFmtId="4" fontId="11" fillId="0" borderId="1" xfId="7" applyNumberFormat="1" applyFont="1" applyBorder="1" applyAlignment="1" applyProtection="1">
      <alignment horizontal="right" wrapText="1"/>
      <protection locked="0"/>
    </xf>
    <xf numFmtId="0" fontId="1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3" fontId="11" fillId="0" borderId="1" xfId="7" applyNumberFormat="1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10" fontId="33" fillId="0" borderId="1" xfId="9" applyNumberFormat="1" applyFont="1" applyBorder="1"/>
    <xf numFmtId="14" fontId="45" fillId="7" borderId="0" xfId="0" applyNumberFormat="1" applyFont="1" applyFill="1" applyAlignment="1" applyProtection="1">
      <alignment horizontal="center"/>
      <protection locked="0"/>
    </xf>
    <xf numFmtId="14" fontId="11" fillId="4" borderId="1" xfId="7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38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/>
    <xf numFmtId="14" fontId="11" fillId="0" borderId="1" xfId="0" applyNumberFormat="1" applyFont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vertical="center" wrapText="1"/>
    </xf>
    <xf numFmtId="49" fontId="15" fillId="3" borderId="8" xfId="0" applyNumberFormat="1" applyFont="1" applyFill="1" applyBorder="1" applyAlignment="1">
      <alignment vertical="center" wrapText="1"/>
    </xf>
    <xf numFmtId="49" fontId="15" fillId="0" borderId="6" xfId="0" applyNumberFormat="1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wrapText="1"/>
    </xf>
    <xf numFmtId="14" fontId="34" fillId="0" borderId="0" xfId="0" applyNumberFormat="1" applyFont="1" applyAlignment="1">
      <alignment horizontal="right" vertical="center"/>
    </xf>
    <xf numFmtId="3" fontId="6" fillId="0" borderId="3" xfId="0" applyNumberFormat="1" applyFont="1" applyBorder="1"/>
    <xf numFmtId="3" fontId="7" fillId="0" borderId="2" xfId="12" applyNumberFormat="1" applyFont="1" applyBorder="1" applyAlignment="1">
      <alignment vertical="center" wrapText="1"/>
    </xf>
    <xf numFmtId="3" fontId="6" fillId="0" borderId="1" xfId="12" applyNumberFormat="1" applyFont="1" applyBorder="1" applyAlignment="1">
      <alignment horizontal="right" vertical="center" wrapText="1"/>
    </xf>
    <xf numFmtId="3" fontId="8" fillId="0" borderId="1" xfId="12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wrapText="1"/>
    </xf>
    <xf numFmtId="3" fontId="8" fillId="10" borderId="0" xfId="0" applyNumberFormat="1" applyFont="1" applyFill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/>
    </xf>
    <xf numFmtId="49" fontId="15" fillId="3" borderId="0" xfId="0" applyNumberFormat="1" applyFont="1" applyFill="1" applyAlignment="1">
      <alignment vertical="center" wrapText="1"/>
    </xf>
    <xf numFmtId="3" fontId="11" fillId="3" borderId="0" xfId="0" applyNumberFormat="1" applyFont="1" applyFill="1" applyAlignment="1">
      <alignment vertical="center"/>
    </xf>
    <xf numFmtId="3" fontId="15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15" fillId="0" borderId="6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3" fontId="6" fillId="0" borderId="1" xfId="8" applyNumberFormat="1" applyFont="1" applyBorder="1" applyAlignment="1" applyProtection="1">
      <alignment vertical="center"/>
      <protection locked="0"/>
    </xf>
    <xf numFmtId="3" fontId="6" fillId="0" borderId="0" xfId="8" applyNumberFormat="1" applyFont="1" applyAlignment="1" applyProtection="1">
      <alignment vertical="center"/>
      <protection locked="0"/>
    </xf>
    <xf numFmtId="10" fontId="6" fillId="0" borderId="1" xfId="9" applyNumberFormat="1" applyFont="1" applyBorder="1" applyProtection="1">
      <protection locked="0"/>
    </xf>
    <xf numFmtId="10" fontId="11" fillId="0" borderId="1" xfId="9" applyNumberFormat="1" applyFont="1" applyBorder="1"/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9" fontId="11" fillId="0" borderId="0" xfId="9" applyFont="1" applyAlignment="1">
      <alignment horizontal="right" vertical="center" wrapText="1"/>
    </xf>
    <xf numFmtId="3" fontId="6" fillId="0" borderId="1" xfId="7" applyNumberFormat="1" applyFont="1" applyBorder="1" applyAlignment="1" applyProtection="1">
      <alignment horizontal="right" vertical="center"/>
      <protection locked="0"/>
    </xf>
    <xf numFmtId="10" fontId="6" fillId="0" borderId="1" xfId="8" applyNumberFormat="1" applyFont="1" applyBorder="1" applyProtection="1">
      <protection locked="0"/>
    </xf>
    <xf numFmtId="3" fontId="6" fillId="6" borderId="4" xfId="0" applyNumberFormat="1" applyFont="1" applyFill="1" applyBorder="1"/>
    <xf numFmtId="3" fontId="8" fillId="0" borderId="1" xfId="12" applyNumberFormat="1" applyFont="1" applyBorder="1" applyAlignment="1">
      <alignment horizontal="right" wrapText="1"/>
    </xf>
    <xf numFmtId="3" fontId="8" fillId="0" borderId="1" xfId="14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justify"/>
    </xf>
    <xf numFmtId="3" fontId="7" fillId="0" borderId="0" xfId="0" applyNumberFormat="1" applyFont="1" applyAlignment="1">
      <alignment horizontal="left" wrapText="1" indent="3"/>
    </xf>
    <xf numFmtId="0" fontId="49" fillId="0" borderId="0" xfId="0" applyFont="1"/>
    <xf numFmtId="0" fontId="15" fillId="4" borderId="1" xfId="0" applyFont="1" applyFill="1" applyBorder="1" applyAlignment="1">
      <alignment horizontal="center" vertical="center" wrapText="1"/>
    </xf>
    <xf numFmtId="3" fontId="11" fillId="0" borderId="1" xfId="22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3" fontId="11" fillId="0" borderId="15" xfId="22" applyNumberFormat="1" applyFont="1" applyBorder="1" applyAlignment="1">
      <alignment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/>
    <xf numFmtId="3" fontId="11" fillId="0" borderId="3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10" fontId="11" fillId="0" borderId="1" xfId="9" applyNumberFormat="1" applyFont="1" applyBorder="1" applyAlignment="1">
      <alignment horizontal="right"/>
    </xf>
    <xf numFmtId="3" fontId="11" fillId="0" borderId="0" xfId="0" applyNumberFormat="1" applyFont="1"/>
    <xf numFmtId="0" fontId="7" fillId="4" borderId="2" xfId="0" applyFont="1" applyFill="1" applyBorder="1" applyAlignment="1">
      <alignment horizontal="center" vertical="center" wrapText="1"/>
    </xf>
    <xf numFmtId="164" fontId="11" fillId="4" borderId="4" xfId="8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14" applyFont="1" applyBorder="1" applyAlignment="1">
      <alignment wrapText="1"/>
    </xf>
    <xf numFmtId="0" fontId="31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11" fillId="0" borderId="11" xfId="0" applyFont="1" applyBorder="1" applyAlignment="1">
      <alignment wrapText="1"/>
    </xf>
    <xf numFmtId="3" fontId="38" fillId="0" borderId="11" xfId="0" applyNumberFormat="1" applyFont="1" applyBorder="1"/>
    <xf numFmtId="3" fontId="57" fillId="0" borderId="1" xfId="0" applyNumberFormat="1" applyFont="1" applyBorder="1" applyAlignment="1">
      <alignment wrapText="1"/>
    </xf>
    <xf numFmtId="3" fontId="55" fillId="0" borderId="1" xfId="0" applyNumberFormat="1" applyFont="1" applyBorder="1" applyAlignment="1">
      <alignment wrapText="1"/>
    </xf>
    <xf numFmtId="0" fontId="11" fillId="11" borderId="1" xfId="0" applyFont="1" applyFill="1" applyBorder="1" applyAlignment="1">
      <alignment horizontal="left" vertical="center" wrapText="1"/>
    </xf>
    <xf numFmtId="3" fontId="11" fillId="11" borderId="1" xfId="0" applyNumberFormat="1" applyFont="1" applyFill="1" applyBorder="1" applyAlignment="1">
      <alignment vertical="center"/>
    </xf>
    <xf numFmtId="0" fontId="6" fillId="11" borderId="1" xfId="0" applyFont="1" applyFill="1" applyBorder="1" applyAlignment="1">
      <alignment horizontal="left" vertical="center" wrapText="1"/>
    </xf>
    <xf numFmtId="3" fontId="6" fillId="11" borderId="1" xfId="0" applyNumberFormat="1" applyFont="1" applyFill="1" applyBorder="1" applyAlignment="1">
      <alignment vertical="center"/>
    </xf>
    <xf numFmtId="0" fontId="15" fillId="11" borderId="1" xfId="0" applyFont="1" applyFill="1" applyBorder="1" applyAlignment="1">
      <alignment horizontal="left" vertical="center" wrapText="1"/>
    </xf>
    <xf numFmtId="3" fontId="15" fillId="11" borderId="1" xfId="0" applyNumberFormat="1" applyFont="1" applyFill="1" applyBorder="1" applyAlignment="1">
      <alignment vertical="center"/>
    </xf>
    <xf numFmtId="49" fontId="6" fillId="11" borderId="1" xfId="0" applyNumberFormat="1" applyFont="1" applyFill="1" applyBorder="1" applyAlignment="1">
      <alignment horizontal="left" vertical="center" wrapText="1"/>
    </xf>
    <xf numFmtId="3" fontId="6" fillId="11" borderId="2" xfId="0" applyNumberFormat="1" applyFont="1" applyFill="1" applyBorder="1" applyAlignment="1">
      <alignment vertical="center"/>
    </xf>
    <xf numFmtId="0" fontId="11" fillId="11" borderId="2" xfId="0" applyFont="1" applyFill="1" applyBorder="1" applyAlignment="1">
      <alignment horizontal="left" vertical="center" wrapText="1"/>
    </xf>
    <xf numFmtId="3" fontId="11" fillId="11" borderId="2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6" fillId="0" borderId="0" xfId="0" applyFont="1" applyAlignment="1">
      <alignment horizontal="justify"/>
    </xf>
    <xf numFmtId="3" fontId="6" fillId="12" borderId="0" xfId="0" applyNumberFormat="1" applyFont="1" applyFill="1"/>
    <xf numFmtId="49" fontId="6" fillId="3" borderId="2" xfId="0" applyNumberFormat="1" applyFont="1" applyFill="1" applyBorder="1" applyAlignment="1">
      <alignment horizontal="left" vertical="center" wrapText="1"/>
    </xf>
    <xf numFmtId="3" fontId="55" fillId="0" borderId="1" xfId="0" applyNumberFormat="1" applyFont="1" applyBorder="1" applyAlignment="1">
      <alignment horizontal="right"/>
    </xf>
    <xf numFmtId="0" fontId="55" fillId="0" borderId="1" xfId="0" applyFont="1" applyBorder="1" applyAlignment="1">
      <alignment vertical="top" wrapText="1"/>
    </xf>
    <xf numFmtId="0" fontId="11" fillId="10" borderId="0" xfId="0" applyFont="1" applyFill="1"/>
    <xf numFmtId="3" fontId="11" fillId="10" borderId="0" xfId="0" applyNumberFormat="1" applyFont="1" applyFill="1"/>
    <xf numFmtId="0" fontId="6" fillId="0" borderId="6" xfId="14" applyFont="1" applyBorder="1" applyAlignment="1">
      <alignment vertical="top" wrapText="1"/>
    </xf>
    <xf numFmtId="0" fontId="6" fillId="0" borderId="4" xfId="14" applyFont="1" applyBorder="1" applyAlignment="1">
      <alignment vertical="top" wrapText="1"/>
    </xf>
    <xf numFmtId="0" fontId="6" fillId="0" borderId="6" xfId="12" applyFont="1" applyBorder="1" applyAlignment="1">
      <alignment vertical="top" wrapText="1"/>
    </xf>
    <xf numFmtId="0" fontId="6" fillId="0" borderId="4" xfId="12" applyFont="1" applyBorder="1" applyAlignment="1">
      <alignment vertical="top" wrapText="1"/>
    </xf>
    <xf numFmtId="0" fontId="6" fillId="0" borderId="0" xfId="0" applyFont="1"/>
    <xf numFmtId="49" fontId="6" fillId="0" borderId="1" xfId="0" applyNumberFormat="1" applyFont="1" applyFill="1" applyBorder="1" applyAlignment="1">
      <alignment horizontal="left" indent="1"/>
    </xf>
    <xf numFmtId="3" fontId="6" fillId="0" borderId="1" xfId="8" applyNumberFormat="1" applyFont="1" applyFill="1" applyBorder="1" applyAlignment="1" applyProtection="1">
      <protection locked="0"/>
    </xf>
    <xf numFmtId="10" fontId="6" fillId="0" borderId="1" xfId="8" applyNumberFormat="1" applyFont="1" applyFill="1" applyBorder="1" applyAlignment="1" applyProtection="1">
      <protection locked="0"/>
    </xf>
    <xf numFmtId="3" fontId="6" fillId="0" borderId="1" xfId="1" applyNumberFormat="1" applyFont="1" applyBorder="1" applyAlignment="1">
      <alignment horizontal="right" wrapText="1"/>
    </xf>
    <xf numFmtId="3" fontId="6" fillId="0" borderId="1" xfId="8" applyNumberFormat="1" applyFont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37" fillId="0" borderId="0" xfId="2" quotePrefix="1" applyFont="1" applyProtection="1">
      <alignment vertical="top"/>
    </xf>
    <xf numFmtId="0" fontId="6" fillId="0" borderId="0" xfId="0" applyFont="1"/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1" fillId="4" borderId="1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9" fontId="11" fillId="0" borderId="1" xfId="9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62" fillId="0" borderId="3" xfId="0" applyFont="1" applyBorder="1"/>
    <xf numFmtId="3" fontId="11" fillId="0" borderId="2" xfId="0" applyNumberFormat="1" applyFont="1" applyBorder="1" applyAlignment="1">
      <alignment vertical="center"/>
    </xf>
    <xf numFmtId="0" fontId="62" fillId="0" borderId="3" xfId="0" applyFont="1" applyBorder="1" applyAlignment="1">
      <alignment wrapText="1"/>
    </xf>
    <xf numFmtId="0" fontId="63" fillId="0" borderId="3" xfId="0" applyFont="1" applyBorder="1"/>
    <xf numFmtId="3" fontId="14" fillId="0" borderId="0" xfId="0" applyNumberFormat="1" applyFont="1"/>
    <xf numFmtId="3" fontId="11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3" fontId="6" fillId="0" borderId="1" xfId="7" applyNumberFormat="1" applyFont="1" applyFill="1" applyBorder="1" applyAlignment="1">
      <alignment horizontal="left" vertical="center" wrapText="1" indent="1"/>
    </xf>
    <xf numFmtId="0" fontId="11" fillId="13" borderId="1" xfId="0" applyFont="1" applyFill="1" applyBorder="1" applyAlignment="1">
      <alignment horizontal="center" vertical="center" wrapText="1"/>
    </xf>
    <xf numFmtId="14" fontId="7" fillId="1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3" fontId="11" fillId="0" borderId="1" xfId="0" applyNumberFormat="1" applyFont="1" applyBorder="1" applyAlignment="1">
      <alignment horizontal="right" wrapText="1"/>
    </xf>
    <xf numFmtId="0" fontId="11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vertical="center" wrapText="1"/>
    </xf>
    <xf numFmtId="0" fontId="11" fillId="0" borderId="0" xfId="0" applyFont="1" applyBorder="1"/>
    <xf numFmtId="3" fontId="11" fillId="0" borderId="0" xfId="0" applyNumberFormat="1" applyFont="1" applyBorder="1"/>
    <xf numFmtId="10" fontId="11" fillId="0" borderId="0" xfId="9" applyNumberFormat="1" applyFont="1" applyBorder="1"/>
    <xf numFmtId="0" fontId="11" fillId="4" borderId="1" xfId="0" applyFont="1" applyFill="1" applyBorder="1" applyAlignment="1">
      <alignment horizontal="center" vertical="center"/>
    </xf>
    <xf numFmtId="0" fontId="6" fillId="0" borderId="0" xfId="0" applyFont="1"/>
    <xf numFmtId="0" fontId="11" fillId="9" borderId="1" xfId="0" applyFont="1" applyFill="1" applyBorder="1" applyAlignment="1">
      <alignment horizontal="center" vertical="center" wrapText="1"/>
    </xf>
    <xf numFmtId="0" fontId="37" fillId="0" borderId="0" xfId="2" quotePrefix="1" applyFont="1" applyFill="1" applyAlignment="1" applyProtection="1">
      <alignment vertical="top"/>
    </xf>
    <xf numFmtId="0" fontId="6" fillId="0" borderId="0" xfId="0" applyFont="1" applyFill="1"/>
    <xf numFmtId="0" fontId="6" fillId="0" borderId="0" xfId="0" applyFont="1" applyFill="1" applyBorder="1"/>
    <xf numFmtId="0" fontId="11" fillId="0" borderId="0" xfId="0" applyFont="1" applyFill="1" applyBorder="1"/>
    <xf numFmtId="0" fontId="0" fillId="0" borderId="0" xfId="0" applyFill="1"/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0" applyFont="1" applyFill="1"/>
    <xf numFmtId="0" fontId="5" fillId="0" borderId="0" xfId="0" applyFont="1" applyFill="1"/>
    <xf numFmtId="0" fontId="15" fillId="0" borderId="1" xfId="0" applyFont="1" applyFill="1" applyBorder="1" applyAlignment="1">
      <alignment wrapText="1"/>
    </xf>
    <xf numFmtId="3" fontId="15" fillId="0" borderId="1" xfId="0" applyNumberFormat="1" applyFont="1" applyFill="1" applyBorder="1"/>
    <xf numFmtId="0" fontId="6" fillId="0" borderId="1" xfId="0" quotePrefix="1" applyFont="1" applyFill="1" applyBorder="1" applyAlignment="1">
      <alignment wrapText="1"/>
    </xf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48" fillId="0" borderId="0" xfId="0" applyFont="1" applyFill="1"/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23" fillId="0" borderId="0" xfId="0" applyFont="1" applyFill="1"/>
    <xf numFmtId="0" fontId="11" fillId="0" borderId="3" xfId="0" applyFont="1" applyFill="1" applyBorder="1" applyAlignment="1">
      <alignment vertical="center" wrapText="1"/>
    </xf>
    <xf numFmtId="3" fontId="11" fillId="0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wrapText="1"/>
    </xf>
    <xf numFmtId="3" fontId="11" fillId="0" borderId="3" xfId="0" applyNumberFormat="1" applyFont="1" applyFill="1" applyBorder="1"/>
    <xf numFmtId="3" fontId="11" fillId="0" borderId="1" xfId="0" applyNumberFormat="1" applyFont="1" applyFill="1" applyBorder="1"/>
    <xf numFmtId="0" fontId="11" fillId="0" borderId="11" xfId="0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6" fillId="5" borderId="0" xfId="0" applyNumberFormat="1" applyFont="1" applyFill="1" applyBorder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3" fontId="31" fillId="0" borderId="1" xfId="7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7" applyNumberFormat="1" applyFont="1" applyFill="1" applyBorder="1" applyAlignment="1">
      <alignment horizontal="right" vertical="center" wrapText="1"/>
    </xf>
    <xf numFmtId="3" fontId="6" fillId="0" borderId="1" xfId="7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7" applyNumberFormat="1" applyFont="1" applyFill="1" applyBorder="1" applyAlignment="1">
      <alignment horizontal="right" vertical="center" wrapText="1"/>
    </xf>
    <xf numFmtId="0" fontId="12" fillId="0" borderId="0" xfId="2" quotePrefix="1" applyFont="1" applyFill="1" applyAlignment="1" applyProtection="1">
      <alignment vertical="top"/>
    </xf>
    <xf numFmtId="0" fontId="59" fillId="0" borderId="0" xfId="57" applyFont="1" applyFill="1" applyAlignment="1">
      <alignment vertical="center"/>
    </xf>
    <xf numFmtId="0" fontId="5" fillId="0" borderId="0" xfId="57" applyFill="1" applyAlignment="1">
      <alignment vertical="center"/>
    </xf>
    <xf numFmtId="0" fontId="5" fillId="0" borderId="0" xfId="57" applyFill="1"/>
    <xf numFmtId="0" fontId="58" fillId="0" borderId="0" xfId="57" applyFont="1" applyFill="1" applyBorder="1" applyAlignment="1">
      <alignment vertical="center"/>
    </xf>
    <xf numFmtId="0" fontId="6" fillId="0" borderId="0" xfId="57" applyFont="1" applyFill="1" applyBorder="1" applyAlignment="1">
      <alignment vertical="center"/>
    </xf>
    <xf numFmtId="0" fontId="6" fillId="0" borderId="0" xfId="57" applyFont="1" applyFill="1" applyBorder="1"/>
    <xf numFmtId="0" fontId="7" fillId="4" borderId="1" xfId="58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wrapText="1"/>
    </xf>
    <xf numFmtId="14" fontId="11" fillId="0" borderId="1" xfId="58" applyNumberFormat="1" applyFont="1" applyFill="1" applyBorder="1" applyAlignment="1">
      <alignment horizontal="center" wrapText="1"/>
    </xf>
    <xf numFmtId="0" fontId="6" fillId="0" borderId="1" xfId="58" applyFont="1" applyFill="1" applyBorder="1"/>
    <xf numFmtId="3" fontId="6" fillId="0" borderId="1" xfId="58" applyNumberFormat="1" applyFont="1" applyFill="1" applyBorder="1" applyAlignment="1">
      <alignment horizontal="right" vertical="center" wrapText="1"/>
    </xf>
    <xf numFmtId="3" fontId="6" fillId="0" borderId="1" xfId="58" applyNumberFormat="1" applyFont="1" applyFill="1" applyBorder="1" applyAlignment="1">
      <alignment horizontal="right"/>
    </xf>
    <xf numFmtId="0" fontId="6" fillId="0" borderId="1" xfId="58" applyFont="1" applyBorder="1"/>
    <xf numFmtId="3" fontId="6" fillId="0" borderId="1" xfId="5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3" fontId="6" fillId="0" borderId="1" xfId="58" applyNumberFormat="1" applyFont="1" applyFill="1" applyBorder="1" applyAlignment="1">
      <alignment horizontal="right" wrapText="1"/>
    </xf>
    <xf numFmtId="3" fontId="31" fillId="0" borderId="1" xfId="0" applyNumberFormat="1" applyFont="1" applyFill="1" applyBorder="1"/>
    <xf numFmtId="0" fontId="6" fillId="0" borderId="0" xfId="0" applyFont="1"/>
    <xf numFmtId="0" fontId="9" fillId="0" borderId="0" xfId="0" applyFont="1" applyAlignment="1">
      <alignment horizontal="center" vertical="top" wrapText="1"/>
    </xf>
    <xf numFmtId="49" fontId="15" fillId="0" borderId="1" xfId="7" applyNumberFormat="1" applyFont="1" applyFill="1" applyBorder="1" applyAlignment="1">
      <alignment vertical="center" wrapText="1"/>
    </xf>
    <xf numFmtId="49" fontId="6" fillId="0" borderId="1" xfId="7" applyNumberFormat="1" applyFont="1" applyFill="1" applyBorder="1" applyAlignment="1">
      <alignment vertical="center" wrapText="1"/>
    </xf>
    <xf numFmtId="49" fontId="6" fillId="0" borderId="1" xfId="8" applyNumberFormat="1" applyFont="1" applyFill="1" applyBorder="1" applyAlignment="1" applyProtection="1">
      <protection locked="0"/>
    </xf>
    <xf numFmtId="4" fontId="6" fillId="0" borderId="1" xfId="0" applyNumberFormat="1" applyFont="1" applyFill="1" applyBorder="1"/>
    <xf numFmtId="0" fontId="6" fillId="0" borderId="1" xfId="0" applyFont="1" applyFill="1" applyBorder="1"/>
    <xf numFmtId="49" fontId="6" fillId="0" borderId="1" xfId="8" applyNumberFormat="1" applyFont="1" applyFill="1" applyBorder="1" applyAlignment="1" applyProtection="1">
      <alignment wrapText="1"/>
      <protection locked="0"/>
    </xf>
    <xf numFmtId="166" fontId="6" fillId="0" borderId="1" xfId="8" applyNumberFormat="1" applyFont="1" applyFill="1" applyBorder="1" applyAlignment="1" applyProtection="1">
      <alignment wrapText="1"/>
      <protection locked="0"/>
    </xf>
    <xf numFmtId="3" fontId="6" fillId="0" borderId="3" xfId="0" applyNumberFormat="1" applyFont="1" applyBorder="1" applyAlignment="1">
      <alignment vertical="center"/>
    </xf>
    <xf numFmtId="3" fontId="21" fillId="0" borderId="0" xfId="7" applyNumberFormat="1" applyFont="1" applyAlignment="1">
      <alignment vertical="center"/>
    </xf>
    <xf numFmtId="0" fontId="6" fillId="0" borderId="0" xfId="0" applyFont="1"/>
    <xf numFmtId="0" fontId="6" fillId="0" borderId="0" xfId="0" applyFont="1"/>
    <xf numFmtId="0" fontId="6" fillId="0" borderId="1" xfId="0" applyFont="1" applyBorder="1" applyAlignment="1">
      <alignment horizontal="justify" wrapText="1"/>
    </xf>
    <xf numFmtId="3" fontId="6" fillId="0" borderId="4" xfId="7" applyNumberFormat="1" applyFont="1" applyFill="1" applyBorder="1" applyAlignment="1">
      <alignment horizontal="right" vertical="center" wrapText="1"/>
    </xf>
    <xf numFmtId="3" fontId="6" fillId="0" borderId="4" xfId="7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7" applyNumberFormat="1" applyFont="1" applyFill="1" applyBorder="1" applyAlignment="1">
      <alignment horizontal="right" vertical="center" wrapText="1"/>
    </xf>
    <xf numFmtId="0" fontId="0" fillId="0" borderId="1" xfId="0" applyBorder="1"/>
    <xf numFmtId="3" fontId="11" fillId="0" borderId="4" xfId="7" applyNumberFormat="1" applyFont="1" applyFill="1" applyBorder="1" applyAlignment="1">
      <alignment horizontal="right" vertical="center" wrapText="1"/>
    </xf>
    <xf numFmtId="3" fontId="15" fillId="0" borderId="4" xfId="7" applyNumberFormat="1" applyFont="1" applyFill="1" applyBorder="1" applyAlignment="1">
      <alignment horizontal="right" vertical="center" wrapText="1"/>
    </xf>
    <xf numFmtId="3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7" applyNumberFormat="1" applyFont="1" applyFill="1" applyBorder="1" applyAlignment="1">
      <alignment vertical="center" wrapText="1"/>
    </xf>
    <xf numFmtId="49" fontId="6" fillId="0" borderId="1" xfId="7" applyNumberFormat="1" applyFont="1" applyFill="1" applyBorder="1" applyAlignment="1">
      <alignment horizontal="left" vertical="center" wrapText="1"/>
    </xf>
    <xf numFmtId="3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9" fontId="15" fillId="0" borderId="1" xfId="7" applyNumberFormat="1" applyFont="1" applyFill="1" applyBorder="1" applyAlignment="1">
      <alignment horizontal="left" vertical="center" wrapText="1"/>
    </xf>
    <xf numFmtId="49" fontId="11" fillId="0" borderId="1" xfId="7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wrapText="1"/>
    </xf>
    <xf numFmtId="3" fontId="6" fillId="6" borderId="1" xfId="8" applyNumberFormat="1" applyFont="1" applyFill="1" applyBorder="1" applyAlignment="1" applyProtection="1">
      <protection locked="0"/>
    </xf>
    <xf numFmtId="10" fontId="6" fillId="6" borderId="1" xfId="8" applyNumberFormat="1" applyFont="1" applyFill="1" applyBorder="1" applyAlignment="1" applyProtection="1">
      <protection locked="0"/>
    </xf>
    <xf numFmtId="0" fontId="6" fillId="0" borderId="0" xfId="0" applyFont="1"/>
    <xf numFmtId="0" fontId="6" fillId="0" borderId="0" xfId="0" applyFont="1"/>
    <xf numFmtId="0" fontId="11" fillId="9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/>
    </xf>
    <xf numFmtId="3" fontId="64" fillId="6" borderId="1" xfId="0" applyNumberFormat="1" applyFont="1" applyFill="1" applyBorder="1" applyAlignment="1">
      <alignment horizontal="right" wrapText="1"/>
    </xf>
    <xf numFmtId="3" fontId="64" fillId="0" borderId="1" xfId="0" applyNumberFormat="1" applyFont="1" applyBorder="1" applyAlignment="1">
      <alignment horizontal="right" wrapText="1"/>
    </xf>
    <xf numFmtId="3" fontId="8" fillId="0" borderId="1" xfId="58" applyNumberFormat="1" applyFont="1" applyFill="1" applyBorder="1" applyAlignment="1">
      <alignment wrapText="1"/>
    </xf>
    <xf numFmtId="3" fontId="64" fillId="0" borderId="1" xfId="58" applyNumberFormat="1" applyFont="1" applyFill="1" applyBorder="1" applyAlignment="1">
      <alignment wrapText="1"/>
    </xf>
    <xf numFmtId="3" fontId="6" fillId="0" borderId="1" xfId="58" applyNumberFormat="1" applyFont="1" applyFill="1" applyBorder="1" applyAlignment="1">
      <alignment wrapText="1"/>
    </xf>
    <xf numFmtId="0" fontId="11" fillId="6" borderId="0" xfId="0" applyFont="1" applyFill="1"/>
    <xf numFmtId="0" fontId="6" fillId="0" borderId="0" xfId="0" applyFont="1"/>
    <xf numFmtId="3" fontId="55" fillId="0" borderId="1" xfId="58" applyNumberFormat="1" applyFont="1" applyBorder="1" applyAlignment="1">
      <alignment horizontal="right"/>
    </xf>
    <xf numFmtId="3" fontId="55" fillId="0" borderId="1" xfId="58" applyNumberFormat="1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0" xfId="58"/>
    <xf numFmtId="0" fontId="6" fillId="0" borderId="0" xfId="58" applyFont="1" applyBorder="1" applyAlignment="1">
      <alignment horizontal="left" wrapText="1"/>
    </xf>
    <xf numFmtId="0" fontId="6" fillId="0" borderId="0" xfId="0" applyFont="1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3" fontId="8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6" fillId="0" borderId="1" xfId="12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7" fillId="4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7" fillId="0" borderId="1" xfId="0" applyNumberFormat="1" applyFont="1" applyBorder="1" applyAlignment="1">
      <alignment horizontal="center" vertical="center" wrapText="1"/>
    </xf>
    <xf numFmtId="3" fontId="8" fillId="0" borderId="1" xfId="58" applyNumberFormat="1" applyFont="1" applyBorder="1" applyAlignment="1">
      <alignment horizontal="right" wrapText="1"/>
    </xf>
    <xf numFmtId="3" fontId="8" fillId="0" borderId="1" xfId="12" applyNumberFormat="1" applyFont="1" applyBorder="1" applyAlignment="1">
      <alignment horizontal="right" wrapText="1"/>
    </xf>
    <xf numFmtId="3" fontId="7" fillId="0" borderId="1" xfId="58" applyNumberFormat="1" applyFont="1" applyBorder="1" applyAlignment="1">
      <alignment horizontal="right" wrapText="1"/>
    </xf>
    <xf numFmtId="3" fontId="8" fillId="0" borderId="1" xfId="14" applyNumberFormat="1" applyFont="1" applyBorder="1" applyAlignment="1">
      <alignment horizontal="right" wrapText="1"/>
    </xf>
    <xf numFmtId="3" fontId="8" fillId="0" borderId="1" xfId="14" applyNumberFormat="1" applyFont="1" applyBorder="1" applyAlignment="1">
      <alignment horizontal="right" wrapText="1"/>
    </xf>
    <xf numFmtId="3" fontId="25" fillId="0" borderId="0" xfId="0" applyNumberFormat="1" applyFont="1"/>
    <xf numFmtId="3" fontId="8" fillId="6" borderId="1" xfId="0" applyNumberFormat="1" applyFont="1" applyFill="1" applyBorder="1" applyAlignment="1">
      <alignment horizontal="center" wrapText="1"/>
    </xf>
    <xf numFmtId="3" fontId="23" fillId="0" borderId="0" xfId="0" applyNumberFormat="1" applyFont="1" applyFill="1"/>
    <xf numFmtId="3" fontId="5" fillId="0" borderId="0" xfId="0" applyNumberFormat="1" applyFont="1" applyFill="1"/>
    <xf numFmtId="0" fontId="6" fillId="0" borderId="0" xfId="0" applyFont="1"/>
    <xf numFmtId="3" fontId="19" fillId="0" borderId="0" xfId="7" applyNumberFormat="1" applyFont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6" fillId="6" borderId="3" xfId="0" applyNumberFormat="1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3" fontId="8" fillId="6" borderId="4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6" fillId="0" borderId="2" xfId="0" quotePrefix="1" applyFont="1" applyBorder="1" applyAlignment="1">
      <alignment horizontal="left" wrapText="1"/>
    </xf>
    <xf numFmtId="170" fontId="6" fillId="6" borderId="0" xfId="0" applyNumberFormat="1" applyFont="1" applyFill="1"/>
    <xf numFmtId="0" fontId="11" fillId="0" borderId="2" xfId="0" quotePrefix="1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10" fontId="7" fillId="0" borderId="1" xfId="0" applyNumberFormat="1" applyFont="1" applyBorder="1" applyAlignment="1">
      <alignment horizontal="right"/>
    </xf>
    <xf numFmtId="0" fontId="55" fillId="14" borderId="1" xfId="5" applyFont="1" applyFill="1" applyBorder="1" applyAlignment="1">
      <alignment horizontal="center" vertical="center"/>
    </xf>
    <xf numFmtId="14" fontId="55" fillId="14" borderId="1" xfId="10" applyNumberFormat="1" applyFont="1" applyFill="1" applyBorder="1" applyAlignment="1">
      <alignment horizontal="center" vertical="center"/>
    </xf>
    <xf numFmtId="0" fontId="55" fillId="14" borderId="16" xfId="0" applyFont="1" applyFill="1" applyBorder="1" applyAlignment="1">
      <alignment horizontal="center" vertical="center"/>
    </xf>
    <xf numFmtId="0" fontId="55" fillId="14" borderId="19" xfId="0" applyFont="1" applyFill="1" applyBorder="1" applyAlignment="1">
      <alignment horizontal="center" vertical="center"/>
    </xf>
    <xf numFmtId="0" fontId="55" fillId="14" borderId="19" xfId="0" applyFont="1" applyFill="1" applyBorder="1" applyAlignment="1">
      <alignment horizontal="center" vertical="center" wrapText="1"/>
    </xf>
    <xf numFmtId="0" fontId="57" fillId="0" borderId="20" xfId="0" applyFont="1" applyBorder="1" applyAlignment="1">
      <alignment vertical="center"/>
    </xf>
    <xf numFmtId="0" fontId="57" fillId="0" borderId="18" xfId="0" applyFont="1" applyBorder="1" applyAlignment="1">
      <alignment vertical="center"/>
    </xf>
    <xf numFmtId="0" fontId="57" fillId="0" borderId="18" xfId="0" applyFont="1" applyBorder="1" applyAlignment="1">
      <alignment horizontal="right" vertical="center" wrapText="1"/>
    </xf>
    <xf numFmtId="0" fontId="55" fillId="0" borderId="17" xfId="0" applyFont="1" applyBorder="1" applyAlignment="1">
      <alignment vertical="center"/>
    </xf>
    <xf numFmtId="0" fontId="65" fillId="0" borderId="18" xfId="0" applyFont="1" applyBorder="1" applyAlignment="1">
      <alignment vertical="center"/>
    </xf>
    <xf numFmtId="0" fontId="55" fillId="0" borderId="18" xfId="0" applyFont="1" applyBorder="1" applyAlignment="1">
      <alignment horizontal="right" vertical="center" wrapText="1"/>
    </xf>
    <xf numFmtId="0" fontId="11" fillId="4" borderId="1" xfId="143" applyFont="1" applyFill="1" applyBorder="1" applyAlignment="1">
      <alignment horizontal="center" vertical="center" wrapText="1"/>
    </xf>
    <xf numFmtId="0" fontId="7" fillId="4" borderId="1" xfId="143" applyFont="1" applyFill="1" applyBorder="1" applyAlignment="1">
      <alignment horizontal="center" vertical="center" wrapText="1"/>
    </xf>
    <xf numFmtId="0" fontId="11" fillId="0" borderId="1" xfId="143" applyFont="1" applyFill="1" applyBorder="1" applyAlignment="1">
      <alignment horizontal="left" wrapText="1"/>
    </xf>
    <xf numFmtId="3" fontId="11" fillId="0" borderId="1" xfId="143" applyNumberFormat="1" applyFont="1" applyFill="1" applyBorder="1" applyAlignment="1">
      <alignment horizontal="right" wrapText="1"/>
    </xf>
    <xf numFmtId="0" fontId="6" fillId="0" borderId="1" xfId="143" applyFont="1" applyFill="1" applyBorder="1" applyAlignment="1">
      <alignment horizontal="left" wrapText="1"/>
    </xf>
    <xf numFmtId="3" fontId="6" fillId="0" borderId="1" xfId="143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horizontal="center" vertical="center"/>
    </xf>
    <xf numFmtId="0" fontId="37" fillId="0" borderId="0" xfId="2" quotePrefix="1" applyFont="1" applyProtection="1">
      <alignment vertical="top"/>
    </xf>
    <xf numFmtId="0" fontId="6" fillId="0" borderId="0" xfId="0" applyFont="1"/>
    <xf numFmtId="0" fontId="11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/>
    </xf>
    <xf numFmtId="0" fontId="37" fillId="0" borderId="0" xfId="2" quotePrefix="1" applyFont="1" applyProtection="1">
      <alignment vertical="top"/>
    </xf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/>
    </xf>
    <xf numFmtId="0" fontId="6" fillId="0" borderId="1" xfId="0" applyFont="1" applyBorder="1" applyAlignment="1">
      <alignment horizontal="justify" wrapText="1"/>
    </xf>
    <xf numFmtId="0" fontId="6" fillId="0" borderId="15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11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9" fontId="6" fillId="0" borderId="6" xfId="7" applyNumberFormat="1" applyFont="1" applyBorder="1" applyAlignment="1">
      <alignment horizontal="left" vertical="center" wrapText="1"/>
    </xf>
    <xf numFmtId="49" fontId="6" fillId="0" borderId="4" xfId="7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9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6" fillId="0" borderId="0" xfId="5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4" fontId="11" fillId="4" borderId="1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32" fillId="0" borderId="6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7" fillId="4" borderId="6" xfId="58" applyFont="1" applyFill="1" applyBorder="1" applyAlignment="1">
      <alignment horizontal="center" vertical="center" wrapText="1"/>
    </xf>
    <xf numFmtId="0" fontId="7" fillId="4" borderId="4" xfId="58" applyFont="1" applyFill="1" applyBorder="1" applyAlignment="1">
      <alignment horizontal="center" vertical="center" wrapText="1"/>
    </xf>
    <xf numFmtId="0" fontId="7" fillId="4" borderId="10" xfId="58" applyFont="1" applyFill="1" applyBorder="1" applyAlignment="1">
      <alignment horizontal="center" vertical="center" wrapText="1"/>
    </xf>
    <xf numFmtId="0" fontId="48" fillId="0" borderId="0" xfId="57" applyFont="1" applyFill="1" applyBorder="1" applyAlignment="1">
      <alignment horizontal="left" wrapText="1"/>
    </xf>
    <xf numFmtId="0" fontId="6" fillId="0" borderId="6" xfId="14" applyFont="1" applyBorder="1" applyAlignment="1">
      <alignment wrapText="1"/>
    </xf>
    <xf numFmtId="0" fontId="6" fillId="0" borderId="4" xfId="14" applyFont="1" applyBorder="1" applyAlignment="1">
      <alignment wrapText="1"/>
    </xf>
    <xf numFmtId="0" fontId="6" fillId="0" borderId="6" xfId="14" applyFont="1" applyBorder="1" applyAlignment="1">
      <alignment horizontal="left" wrapText="1"/>
    </xf>
    <xf numFmtId="0" fontId="6" fillId="0" borderId="4" xfId="14" applyFont="1" applyBorder="1" applyAlignment="1">
      <alignment horizontal="left" wrapText="1"/>
    </xf>
    <xf numFmtId="0" fontId="6" fillId="0" borderId="6" xfId="14" applyFont="1" applyBorder="1" applyAlignment="1">
      <alignment vertical="top" wrapText="1"/>
    </xf>
    <xf numFmtId="0" fontId="6" fillId="0" borderId="4" xfId="14" applyFont="1" applyBorder="1" applyAlignment="1">
      <alignment vertical="top" wrapText="1"/>
    </xf>
    <xf numFmtId="0" fontId="6" fillId="0" borderId="6" xfId="12" applyFont="1" applyBorder="1" applyAlignment="1">
      <alignment vertical="top" wrapText="1"/>
    </xf>
    <xf numFmtId="0" fontId="6" fillId="0" borderId="4" xfId="12" applyFont="1" applyBorder="1" applyAlignment="1">
      <alignment vertical="top" wrapText="1"/>
    </xf>
    <xf numFmtId="0" fontId="6" fillId="0" borderId="6" xfId="12" applyFont="1" applyBorder="1" applyAlignment="1">
      <alignment wrapText="1"/>
    </xf>
    <xf numFmtId="0" fontId="6" fillId="0" borderId="4" xfId="12" applyFont="1" applyBorder="1" applyAlignment="1">
      <alignment wrapText="1"/>
    </xf>
    <xf numFmtId="0" fontId="6" fillId="0" borderId="6" xfId="12" applyFont="1" applyBorder="1" applyAlignment="1">
      <alignment horizontal="left" wrapText="1"/>
    </xf>
    <xf numFmtId="0" fontId="6" fillId="0" borderId="4" xfId="12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6" fillId="0" borderId="2" xfId="7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4" borderId="1" xfId="7" applyFont="1" applyFill="1" applyBorder="1" applyAlignment="1">
      <alignment horizontal="center" vertical="center"/>
    </xf>
    <xf numFmtId="0" fontId="0" fillId="0" borderId="1" xfId="0" applyBorder="1" applyAlignment="1"/>
    <xf numFmtId="14" fontId="11" fillId="4" borderId="6" xfId="7" applyNumberFormat="1" applyFont="1" applyFill="1" applyBorder="1" applyAlignment="1">
      <alignment horizontal="center" vertical="center" wrapText="1"/>
    </xf>
    <xf numFmtId="14" fontId="11" fillId="4" borderId="2" xfId="7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 applyAlignment="1">
      <alignment wrapText="1"/>
    </xf>
    <xf numFmtId="3" fontId="0" fillId="0" borderId="12" xfId="0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14" fontId="11" fillId="4" borderId="1" xfId="7" applyNumberFormat="1" applyFont="1" applyFill="1" applyBorder="1" applyAlignment="1">
      <alignment horizontal="center" vertical="center" wrapText="1"/>
    </xf>
  </cellXfs>
  <cellStyles count="144">
    <cellStyle name="Dziesiętny" xfId="1" builtinId="3"/>
    <cellStyle name="Dziesiętny 2" xfId="10"/>
    <cellStyle name="Dziesiętny 2 2" xfId="15"/>
    <cellStyle name="Dziesiętny 2 2 2" xfId="22"/>
    <cellStyle name="Dziesiętny 2 2 2 2" xfId="33"/>
    <cellStyle name="Dziesiętny 2 2 2 2 2" xfId="55"/>
    <cellStyle name="Dziesiętny 2 2 2 2 2 2" xfId="99"/>
    <cellStyle name="Dziesiętny 2 2 2 2 2 3" xfId="140"/>
    <cellStyle name="Dziesiętny 2 2 2 2 3" xfId="79"/>
    <cellStyle name="Dziesiętny 2 2 2 2 4" xfId="120"/>
    <cellStyle name="Dziesiętny 2 2 2 3" xfId="44"/>
    <cellStyle name="Dziesiętny 2 2 2 3 2" xfId="89"/>
    <cellStyle name="Dziesiętny 2 2 2 3 3" xfId="130"/>
    <cellStyle name="Dziesiętny 2 2 2 4" xfId="69"/>
    <cellStyle name="Dziesiętny 2 2 2 5" xfId="110"/>
    <cellStyle name="Dziesiętny 2 2 3" xfId="27"/>
    <cellStyle name="Dziesiętny 2 2 3 2" xfId="49"/>
    <cellStyle name="Dziesiętny 2 2 3 2 2" xfId="93"/>
    <cellStyle name="Dziesiętny 2 2 3 2 3" xfId="134"/>
    <cellStyle name="Dziesiętny 2 2 3 3" xfId="73"/>
    <cellStyle name="Dziesiętny 2 2 3 4" xfId="114"/>
    <cellStyle name="Dziesiętny 2 2 4" xfId="38"/>
    <cellStyle name="Dziesiętny 2 2 4 2" xfId="83"/>
    <cellStyle name="Dziesiętny 2 2 4 3" xfId="124"/>
    <cellStyle name="Dziesiętny 2 2 5" xfId="63"/>
    <cellStyle name="Dziesiętny 2 2 6" xfId="104"/>
    <cellStyle name="Dziesiętny 2 3" xfId="19"/>
    <cellStyle name="Dziesiętny 2 3 2" xfId="30"/>
    <cellStyle name="Dziesiętny 2 3 2 2" xfId="52"/>
    <cellStyle name="Dziesiętny 2 3 2 2 2" xfId="96"/>
    <cellStyle name="Dziesiętny 2 3 2 2 3" xfId="137"/>
    <cellStyle name="Dziesiętny 2 3 2 3" xfId="76"/>
    <cellStyle name="Dziesiętny 2 3 2 4" xfId="117"/>
    <cellStyle name="Dziesiętny 2 3 3" xfId="41"/>
    <cellStyle name="Dziesiętny 2 3 3 2" xfId="86"/>
    <cellStyle name="Dziesiętny 2 3 3 3" xfId="127"/>
    <cellStyle name="Dziesiętny 2 3 4" xfId="66"/>
    <cellStyle name="Dziesiętny 2 3 5" xfId="107"/>
    <cellStyle name="Dziesiętny 2 4" xfId="25"/>
    <cellStyle name="Dziesiętny 2 4 2" xfId="47"/>
    <cellStyle name="Dziesiętny 2 4 2 2" xfId="91"/>
    <cellStyle name="Dziesiętny 2 4 2 3" xfId="132"/>
    <cellStyle name="Dziesiętny 2 4 3" xfId="71"/>
    <cellStyle name="Dziesiętny 2 4 4" xfId="112"/>
    <cellStyle name="Dziesiętny 2 5" xfId="35"/>
    <cellStyle name="Dziesiętny 2 5 2" xfId="81"/>
    <cellStyle name="Dziesiętny 2 5 3" xfId="122"/>
    <cellStyle name="Dziesiętny 2 6" xfId="61"/>
    <cellStyle name="Dziesiętny 2 7" xfId="102"/>
    <cellStyle name="Dziesiętny 3" xfId="13"/>
    <cellStyle name="Dziesiętny 3 2" xfId="17"/>
    <cellStyle name="Dziesiętny 3 2 2" xfId="28"/>
    <cellStyle name="Dziesiętny 3 2 2 2" xfId="50"/>
    <cellStyle name="Dziesiętny 3 2 2 2 2" xfId="94"/>
    <cellStyle name="Dziesiętny 3 2 2 2 3" xfId="135"/>
    <cellStyle name="Dziesiętny 3 2 2 3" xfId="74"/>
    <cellStyle name="Dziesiętny 3 2 2 4" xfId="115"/>
    <cellStyle name="Dziesiętny 3 2 3" xfId="39"/>
    <cellStyle name="Dziesiętny 3 2 3 2" xfId="84"/>
    <cellStyle name="Dziesiętny 3 2 3 3" xfId="125"/>
    <cellStyle name="Dziesiętny 3 2 4" xfId="64"/>
    <cellStyle name="Dziesiętny 3 2 5" xfId="105"/>
    <cellStyle name="Dziesiętny 3 3" xfId="20"/>
    <cellStyle name="Dziesiętny 3 3 2" xfId="31"/>
    <cellStyle name="Dziesiętny 3 3 2 2" xfId="53"/>
    <cellStyle name="Dziesiętny 3 3 2 2 2" xfId="97"/>
    <cellStyle name="Dziesiętny 3 3 2 2 3" xfId="138"/>
    <cellStyle name="Dziesiętny 3 3 2 3" xfId="77"/>
    <cellStyle name="Dziesiętny 3 3 2 4" xfId="118"/>
    <cellStyle name="Dziesiętny 3 3 3" xfId="42"/>
    <cellStyle name="Dziesiętny 3 3 3 2" xfId="87"/>
    <cellStyle name="Dziesiętny 3 3 3 3" xfId="128"/>
    <cellStyle name="Dziesiętny 3 3 4" xfId="67"/>
    <cellStyle name="Dziesiętny 3 3 5" xfId="108"/>
    <cellStyle name="Dziesiętny 3 4" xfId="26"/>
    <cellStyle name="Dziesiętny 3 4 2" xfId="48"/>
    <cellStyle name="Dziesiętny 3 4 2 2" xfId="92"/>
    <cellStyle name="Dziesiętny 3 4 2 3" xfId="133"/>
    <cellStyle name="Dziesiętny 3 4 3" xfId="72"/>
    <cellStyle name="Dziesiętny 3 4 4" xfId="113"/>
    <cellStyle name="Dziesiętny 3 5" xfId="36"/>
    <cellStyle name="Dziesiętny 3 5 2" xfId="82"/>
    <cellStyle name="Dziesiętny 3 5 3" xfId="123"/>
    <cellStyle name="Dziesiętny 3 6" xfId="62"/>
    <cellStyle name="Dziesiętny 3 7" xfId="103"/>
    <cellStyle name="Dziesiętny 4" xfId="21"/>
    <cellStyle name="Dziesiętny 4 2" xfId="32"/>
    <cellStyle name="Dziesiętny 4 2 2" xfId="54"/>
    <cellStyle name="Dziesiętny 4 2 2 2" xfId="98"/>
    <cellStyle name="Dziesiętny 4 2 2 3" xfId="139"/>
    <cellStyle name="Dziesiętny 4 2 3" xfId="78"/>
    <cellStyle name="Dziesiętny 4 2 4" xfId="119"/>
    <cellStyle name="Dziesiętny 4 3" xfId="43"/>
    <cellStyle name="Dziesiętny 4 3 2" xfId="88"/>
    <cellStyle name="Dziesiętny 4 3 3" xfId="129"/>
    <cellStyle name="Dziesiętny 4 4" xfId="68"/>
    <cellStyle name="Dziesiętny 4 5" xfId="109"/>
    <cellStyle name="Dziesiętny 5" xfId="18"/>
    <cellStyle name="Dziesiętny 5 2" xfId="29"/>
    <cellStyle name="Dziesiętny 5 2 2" xfId="51"/>
    <cellStyle name="Dziesiętny 5 2 2 2" xfId="95"/>
    <cellStyle name="Dziesiętny 5 2 2 3" xfId="136"/>
    <cellStyle name="Dziesiętny 5 2 3" xfId="75"/>
    <cellStyle name="Dziesiętny 5 2 4" xfId="116"/>
    <cellStyle name="Dziesiętny 5 3" xfId="40"/>
    <cellStyle name="Dziesiętny 5 3 2" xfId="85"/>
    <cellStyle name="Dziesiętny 5 3 3" xfId="126"/>
    <cellStyle name="Dziesiętny 5 4" xfId="65"/>
    <cellStyle name="Dziesiętny 5 5" xfId="106"/>
    <cellStyle name="Dziesiętny 6" xfId="24"/>
    <cellStyle name="Dziesiętny 6 2" xfId="46"/>
    <cellStyle name="Dziesiętny 6 2 2" xfId="90"/>
    <cellStyle name="Dziesiętny 6 2 3" xfId="131"/>
    <cellStyle name="Dziesiętny 6 3" xfId="70"/>
    <cellStyle name="Dziesiętny 6 4" xfId="111"/>
    <cellStyle name="Dziesiętny 7" xfId="34"/>
    <cellStyle name="Dziesiętny 7 2" xfId="80"/>
    <cellStyle name="Dziesiętny 7 3" xfId="121"/>
    <cellStyle name="Dziesiętny 8" xfId="60"/>
    <cellStyle name="Dziesiętny 9" xfId="101"/>
    <cellStyle name="Hiperłącze" xfId="2" builtinId="8"/>
    <cellStyle name="Hiperłącze 2" xfId="3"/>
    <cellStyle name="Normal_Nota Nr 1" xfId="4"/>
    <cellStyle name="Normalny" xfId="0" builtinId="0"/>
    <cellStyle name="Normalny 2" xfId="5"/>
    <cellStyle name="Normalny 2 2" xfId="37"/>
    <cellStyle name="Normalny 2 2 2" xfId="58"/>
    <cellStyle name="Normalny 2 3" xfId="57"/>
    <cellStyle name="Normalny 3" xfId="6"/>
    <cellStyle name="Normalny 3 2" xfId="14"/>
    <cellStyle name="Normalny 4" xfId="12"/>
    <cellStyle name="Normalny 5" xfId="56"/>
    <cellStyle name="Normalny 5 2" xfId="100"/>
    <cellStyle name="Normalny 5 3" xfId="141"/>
    <cellStyle name="Normalny 5 4" xfId="142"/>
    <cellStyle name="Normalny 5 5" xfId="143"/>
    <cellStyle name="Normalny_bilans_przekształceń" xfId="7"/>
    <cellStyle name="Normalny_Pakiet informacyjny 2.2" xfId="8"/>
    <cellStyle name="Procentowy" xfId="9" builtinId="5"/>
    <cellStyle name="Procentowy 2" xfId="11"/>
    <cellStyle name="Procentowy 2 2" xfId="16"/>
    <cellStyle name="Procentowy 3" xfId="23"/>
    <cellStyle name="Procentowy 3 2" xfId="45"/>
    <cellStyle name="Procentowy 4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fal/Ustawienia%20lokalne/Temporary%20Internet%20Files/OLK19/ZAT%20Pakiet%20konsolidacyjny%2006%202006%202007%2011%2008%20N18B%20do%20uzupenie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arycki/Ustawienia%20lokalne/Temporary%20Internet%20Files/Content.Outlook/NZDZ161T/HL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ED9E53\ZAT%20Pakiet%20konsolidacyjny%2006%202006%202007%2011%2008%20N18B%20do%20uzupenie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pkfconsult.pl/Documents%20and%20Settings/Rafal/Ustawienia%20lokalne/Temporary%20Internet%20Files/OLK19/ZAT%20Pakiet%20konsolidacyjny%2006%202006%202007%2011%2008%20N18B%20do%20uzupenien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e_60/Desktop/Sprawozdania,%20Raporty/Sprawozdania%202018/IV%20kwarta&#322;/KONSOLIDACJA/Kopia%20Kopia%20GK%20SF%20MSSF%2031.12.2018v2%20(003)%20(00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e_53/AppData/Local/Microsoft/Windows/INetCache/Content.Outlook/TKJJ88D9/Kopia%20GK%20SF%20MSSF%2031%2012_RZIS%20por_28_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e_53/Desktop/Bieg&#322;y_2019/Nota%20SF%20MSSF%20Rezerwy%20-szblon_INIS_VT_SI_FWC_SL_SARE_CB_JU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.Skupien/Desktop/2020/Raport%20kwartalny/12.2020/SPRAWOZDANIA%202020/JEDNOSTKOWE/Wersja%20ko&#324;cowa/Dodatkowe%20noty/SF%20MSSF%2031%2012%202020ver.5%20-%20do%20wklej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62">
          <cell r="BB62" t="str">
            <v xml:space="preserve"> na dzień 01.01.2006 roku</v>
          </cell>
        </row>
        <row r="63">
          <cell r="BB63" t="str">
            <v xml:space="preserve"> na dzień 30.06.2006 roku</v>
          </cell>
        </row>
        <row r="68">
          <cell r="BB68" t="str">
            <v xml:space="preserve"> na dzień 01.01.2005 roku</v>
          </cell>
        </row>
        <row r="72">
          <cell r="BB72" t="str">
            <v xml:space="preserve"> na dzień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18879368</v>
          </cell>
          <cell r="E5">
            <v>14712781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>
        <row r="7">
          <cell r="B7" t="str">
            <v>01.01.2014 - 31.12.2014</v>
          </cell>
        </row>
      </sheetData>
      <sheetData sheetId="1" refreshError="1"/>
      <sheetData sheetId="2" refreshError="1"/>
      <sheetData sheetId="3" refreshError="1"/>
      <sheetData sheetId="4">
        <row r="10">
          <cell r="E10">
            <v>107262</v>
          </cell>
        </row>
      </sheetData>
      <sheetData sheetId="5">
        <row r="5">
          <cell r="D5">
            <v>221550</v>
          </cell>
          <cell r="E5">
            <v>221550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B7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8">
          <cell r="C78">
            <v>221550</v>
          </cell>
          <cell r="D78">
            <v>221550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sumowanie"/>
      <sheetName val="SARE"/>
      <sheetName val="INIS"/>
      <sheetName val="VT"/>
      <sheetName val="JU"/>
      <sheetName val="SI"/>
      <sheetName val="FWC"/>
      <sheetName val="SL"/>
      <sheetName val="CB"/>
    </sheetNames>
    <sheetDataSet>
      <sheetData sheetId="0"/>
      <sheetData sheetId="1">
        <row r="5">
          <cell r="B5">
            <v>0</v>
          </cell>
        </row>
        <row r="6">
          <cell r="B6">
            <v>0</v>
          </cell>
        </row>
      </sheetData>
      <sheetData sheetId="2">
        <row r="5">
          <cell r="B5">
            <v>0</v>
          </cell>
        </row>
        <row r="6">
          <cell r="B6">
            <v>0</v>
          </cell>
        </row>
      </sheetData>
      <sheetData sheetId="3">
        <row r="5">
          <cell r="B5">
            <v>0</v>
          </cell>
        </row>
        <row r="6">
          <cell r="B6">
            <v>0</v>
          </cell>
        </row>
      </sheetData>
      <sheetData sheetId="4">
        <row r="5">
          <cell r="B5">
            <v>0</v>
          </cell>
        </row>
        <row r="6">
          <cell r="B6">
            <v>0</v>
          </cell>
        </row>
      </sheetData>
      <sheetData sheetId="5">
        <row r="5">
          <cell r="B5">
            <v>0</v>
          </cell>
        </row>
        <row r="6">
          <cell r="B6">
            <v>0</v>
          </cell>
        </row>
      </sheetData>
      <sheetData sheetId="6">
        <row r="5">
          <cell r="B5">
            <v>0</v>
          </cell>
        </row>
        <row r="6">
          <cell r="B6">
            <v>0</v>
          </cell>
        </row>
      </sheetData>
      <sheetData sheetId="7">
        <row r="5">
          <cell r="B5">
            <v>0</v>
          </cell>
        </row>
        <row r="6">
          <cell r="B6">
            <v>0</v>
          </cell>
        </row>
      </sheetData>
      <sheetData sheetId="8">
        <row r="5">
          <cell r="B5">
            <v>0</v>
          </cell>
        </row>
        <row r="6">
          <cell r="B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Podział przychodów ze sprzedaż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3A - Prawo do użytkowania"/>
      <sheetName val="NOTA 14 -Wartości niematerialne"/>
      <sheetName val="NOTA 15 - Nieruchomości inwest"/>
      <sheetName val="NOTA 16,17 - Inw. i poz.akt.trw"/>
      <sheetName val="NOTA 21 - Zapasy"/>
      <sheetName val="NOTA 22 - Umowy długoterminowe"/>
      <sheetName val="NOTA 18,19,20- akt.fin.do. sprz"/>
      <sheetName val="NOTA 23,24 - Należności"/>
      <sheetName val="NOTA 25 - RMK"/>
      <sheetName val="NOTA 26 - Środki pieniężne"/>
      <sheetName val="NOTA 27,29,30,31 - Kapitały"/>
      <sheetName val="NOTA 32 - Kredyty i pożyczki"/>
      <sheetName val="NOTA 33 Zobowiązania finansowe"/>
      <sheetName val="NOTA 34 - Inne zob. długoterm."/>
      <sheetName val="NOTA 35,36 - Zob. hand. i pozos"/>
      <sheetName val="NOTA 37,38 - ZFŚS, Zob. warunko"/>
      <sheetName val="NOTA 39 - Leasing"/>
      <sheetName val="NOTA 40 - RMP"/>
      <sheetName val="NOTA 41,42 - Rezerwy"/>
      <sheetName val="NOTA 43 - Zarządzanie ryzykiem"/>
      <sheetName val="NOTA 44 - Instrumenty finansowe"/>
      <sheetName val="NOTA 45 - Zarządzanie kapitałem"/>
      <sheetName val="NOTA 46 Świadczenia pracownicze"/>
      <sheetName val="NOTA 47 - Podmioty powiązane"/>
      <sheetName val="NOTA 48 - Wynagrodzenie kadry "/>
      <sheetName val="NOTA 49 - Sruktura zatrudnienia"/>
      <sheetName val="NOTA 51 - Aktywowane koszty"/>
      <sheetName val="NOTA 57 - Sprawozdanie skonsol."/>
      <sheetName val="NOTA 58 - Wynagrodzenie BR"/>
      <sheetName val="NOTA 59 - Objasnienia do RPP"/>
      <sheetName val="opis zmian"/>
      <sheetName val="uzgodnienie"/>
      <sheetName val="dodatkowe noty"/>
    </sheetNames>
    <sheetDataSet>
      <sheetData sheetId="0">
        <row r="9">
          <cell r="B9">
            <v>44196</v>
          </cell>
        </row>
        <row r="14">
          <cell r="B14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7"/>
  <sheetViews>
    <sheetView showGridLines="0" view="pageBreakPreview" zoomScaleNormal="75" workbookViewId="0">
      <selection activeCell="B123" sqref="B123:F124"/>
    </sheetView>
  </sheetViews>
  <sheetFormatPr defaultColWidth="9.33203125" defaultRowHeight="13.2" x14ac:dyDescent="0.25"/>
  <cols>
    <col min="1" max="1" width="51.6640625" style="276" customWidth="1"/>
    <col min="2" max="2" width="36.33203125" style="275" customWidth="1"/>
    <col min="3" max="3" width="29.44140625" style="275" customWidth="1"/>
    <col min="4" max="4" width="9.33203125" style="272"/>
    <col min="5" max="5" width="0" style="272" hidden="1" customWidth="1"/>
    <col min="6" max="16384" width="9.33203125" style="272"/>
  </cols>
  <sheetData>
    <row r="1" spans="1:5" s="270" customFormat="1" ht="27" thickBot="1" x14ac:dyDescent="0.3">
      <c r="A1" s="269"/>
      <c r="B1" s="387" t="s">
        <v>327</v>
      </c>
      <c r="C1" s="388" t="s">
        <v>328</v>
      </c>
    </row>
    <row r="2" spans="1:5" ht="28.2" customHeight="1" x14ac:dyDescent="0.25">
      <c r="A2" s="271" t="s">
        <v>329</v>
      </c>
      <c r="B2" s="389" t="s">
        <v>755</v>
      </c>
      <c r="C2" s="390" t="s">
        <v>330</v>
      </c>
    </row>
    <row r="3" spans="1:5" ht="29.25" customHeight="1" x14ac:dyDescent="0.25">
      <c r="A3" s="273"/>
      <c r="B3" s="274"/>
    </row>
    <row r="4" spans="1:5" ht="29.25" customHeight="1" x14ac:dyDescent="0.25">
      <c r="A4" s="271" t="s">
        <v>331</v>
      </c>
      <c r="B4" s="389" t="s">
        <v>592</v>
      </c>
      <c r="C4" s="390" t="s">
        <v>399</v>
      </c>
    </row>
    <row r="5" spans="1:5" x14ac:dyDescent="0.25">
      <c r="B5" s="277"/>
    </row>
    <row r="6" spans="1:5" x14ac:dyDescent="0.25">
      <c r="A6" s="271" t="s">
        <v>437</v>
      </c>
      <c r="B6" s="278"/>
    </row>
    <row r="7" spans="1:5" ht="13.95" customHeight="1" x14ac:dyDescent="0.25">
      <c r="A7" s="276" t="s">
        <v>6</v>
      </c>
      <c r="B7" s="391" t="s">
        <v>843</v>
      </c>
      <c r="C7" s="390" t="s">
        <v>432</v>
      </c>
    </row>
    <row r="8" spans="1:5" ht="13.95" customHeight="1" x14ac:dyDescent="0.25">
      <c r="A8" s="276" t="s">
        <v>332</v>
      </c>
      <c r="B8" s="433">
        <v>43831</v>
      </c>
      <c r="C8" s="390" t="s">
        <v>432</v>
      </c>
    </row>
    <row r="9" spans="1:5" x14ac:dyDescent="0.25">
      <c r="A9" s="276" t="s">
        <v>333</v>
      </c>
      <c r="B9" s="433">
        <v>44196</v>
      </c>
      <c r="C9" s="390" t="s">
        <v>433</v>
      </c>
    </row>
    <row r="11" spans="1:5" x14ac:dyDescent="0.25">
      <c r="A11" s="349" t="s">
        <v>438</v>
      </c>
    </row>
    <row r="12" spans="1:5" x14ac:dyDescent="0.25">
      <c r="A12" s="276" t="s">
        <v>6</v>
      </c>
      <c r="B12" s="391" t="s">
        <v>756</v>
      </c>
      <c r="C12" s="390" t="s">
        <v>434</v>
      </c>
    </row>
    <row r="13" spans="1:5" x14ac:dyDescent="0.25">
      <c r="A13" s="276" t="s">
        <v>332</v>
      </c>
      <c r="B13" s="433">
        <v>43466</v>
      </c>
      <c r="C13" s="390" t="s">
        <v>435</v>
      </c>
    </row>
    <row r="14" spans="1:5" x14ac:dyDescent="0.25">
      <c r="A14" s="276" t="s">
        <v>333</v>
      </c>
      <c r="B14" s="433">
        <v>43830</v>
      </c>
      <c r="C14" s="390" t="s">
        <v>436</v>
      </c>
    </row>
    <row r="16" spans="1:5" x14ac:dyDescent="0.25">
      <c r="A16" s="276" t="s">
        <v>339</v>
      </c>
      <c r="B16" s="392" t="s">
        <v>674</v>
      </c>
      <c r="C16" s="393" t="s">
        <v>366</v>
      </c>
      <c r="E16" s="272">
        <f>IF(C16="nie",0,IF(C16="tak",1,2))</f>
        <v>2</v>
      </c>
    </row>
    <row r="17" spans="3:3" x14ac:dyDescent="0.25">
      <c r="C17" s="279"/>
    </row>
  </sheetData>
  <phoneticPr fontId="6" type="noConversion"/>
  <pageMargins left="0.75" right="0.75" top="1" bottom="1" header="0.5" footer="0.5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B1:D29"/>
  <sheetViews>
    <sheetView showGridLines="0" zoomScaleNormal="100" zoomScaleSheetLayoutView="100" workbookViewId="0">
      <selection activeCell="B35" sqref="B35"/>
    </sheetView>
  </sheetViews>
  <sheetFormatPr defaultColWidth="9.33203125" defaultRowHeight="13.2" x14ac:dyDescent="0.25"/>
  <cols>
    <col min="1" max="1" width="3.33203125" customWidth="1"/>
    <col min="2" max="2" width="50.6640625" customWidth="1"/>
    <col min="3" max="4" width="13.6640625" customWidth="1"/>
  </cols>
  <sheetData>
    <row r="1" spans="2:4" x14ac:dyDescent="0.25">
      <c r="B1" s="38"/>
    </row>
    <row r="2" spans="2:4" s="44" customFormat="1" x14ac:dyDescent="0.25">
      <c r="B2" s="399" t="s">
        <v>564</v>
      </c>
    </row>
    <row r="3" spans="2:4" x14ac:dyDescent="0.25">
      <c r="B3" s="1"/>
      <c r="C3" s="1"/>
      <c r="D3" s="1"/>
    </row>
    <row r="4" spans="2:4" ht="20.399999999999999" x14ac:dyDescent="0.25">
      <c r="B4" s="118" t="s">
        <v>586</v>
      </c>
      <c r="C4" s="118" t="str">
        <f>'Dane podstawowe'!$B$7</f>
        <v>01.01.2020-31.12.2020</v>
      </c>
      <c r="D4" s="118" t="str">
        <f>'Dane podstawowe'!$B$12</f>
        <v>01.01.2019-31.12.2019</v>
      </c>
    </row>
    <row r="5" spans="2:4" x14ac:dyDescent="0.25">
      <c r="B5" s="55" t="s">
        <v>30</v>
      </c>
      <c r="C5" s="158">
        <f>RZiS!D8</f>
        <v>4387695</v>
      </c>
      <c r="D5" s="158">
        <f>RZiS!E8</f>
        <v>4175039</v>
      </c>
    </row>
    <row r="6" spans="2:4" x14ac:dyDescent="0.25">
      <c r="B6" s="55" t="s">
        <v>31</v>
      </c>
      <c r="C6" s="158">
        <f>RZiS!D9</f>
        <v>271108</v>
      </c>
      <c r="D6" s="158">
        <f>RZiS!E9</f>
        <v>651742</v>
      </c>
    </row>
    <row r="7" spans="2:4" x14ac:dyDescent="0.25">
      <c r="B7" s="55" t="s">
        <v>32</v>
      </c>
      <c r="C7" s="158">
        <f>RZiS!D10</f>
        <v>34164438</v>
      </c>
      <c r="D7" s="158">
        <f>RZiS!E10</f>
        <v>35690078</v>
      </c>
    </row>
    <row r="8" spans="2:4" x14ac:dyDescent="0.25">
      <c r="B8" s="55" t="s">
        <v>33</v>
      </c>
      <c r="C8" s="158">
        <f>RZiS!D11</f>
        <v>179714</v>
      </c>
      <c r="D8" s="158">
        <f>RZiS!E11</f>
        <v>240789</v>
      </c>
    </row>
    <row r="9" spans="2:4" x14ac:dyDescent="0.25">
      <c r="B9" s="55" t="s">
        <v>212</v>
      </c>
      <c r="C9" s="158">
        <f>RZiS!D12</f>
        <v>12751814</v>
      </c>
      <c r="D9" s="158">
        <f>RZiS!E12</f>
        <v>14275740</v>
      </c>
    </row>
    <row r="10" spans="2:4" x14ac:dyDescent="0.25">
      <c r="B10" s="55" t="s">
        <v>213</v>
      </c>
      <c r="C10" s="158">
        <f>RZiS!D13</f>
        <v>2142935</v>
      </c>
      <c r="D10" s="158">
        <f>RZiS!E13</f>
        <v>2506224</v>
      </c>
    </row>
    <row r="11" spans="2:4" x14ac:dyDescent="0.25">
      <c r="B11" s="55" t="s">
        <v>34</v>
      </c>
      <c r="C11" s="158">
        <f>RZiS!D14</f>
        <v>1812653</v>
      </c>
      <c r="D11" s="158">
        <f>RZiS!E14</f>
        <v>1464610</v>
      </c>
    </row>
    <row r="12" spans="2:4" x14ac:dyDescent="0.25">
      <c r="B12" s="55" t="s">
        <v>35</v>
      </c>
      <c r="C12" s="158">
        <f>RZiS!D15</f>
        <v>102</v>
      </c>
      <c r="D12" s="158">
        <f>RZiS!E15</f>
        <v>51103</v>
      </c>
    </row>
    <row r="13" spans="2:4" x14ac:dyDescent="0.25">
      <c r="B13" s="56" t="s">
        <v>686</v>
      </c>
      <c r="C13" s="454">
        <f>SUM(C5:C12)</f>
        <v>55710459</v>
      </c>
      <c r="D13" s="454">
        <f>SUM(D5:D12)</f>
        <v>59055325</v>
      </c>
    </row>
    <row r="14" spans="2:4" hidden="1" x14ac:dyDescent="0.25">
      <c r="B14" s="46" t="s">
        <v>36</v>
      </c>
      <c r="C14" s="455"/>
      <c r="D14" s="158"/>
    </row>
    <row r="15" spans="2:4" ht="21" hidden="1" x14ac:dyDescent="0.25">
      <c r="B15" s="46" t="s">
        <v>214</v>
      </c>
      <c r="C15" s="455"/>
      <c r="D15" s="158"/>
    </row>
    <row r="16" spans="2:4" hidden="1" x14ac:dyDescent="0.25">
      <c r="B16" s="46" t="s">
        <v>215</v>
      </c>
      <c r="C16" s="456"/>
      <c r="D16" s="158"/>
    </row>
    <row r="17" spans="2:4" hidden="1" x14ac:dyDescent="0.25">
      <c r="B17" s="46" t="s">
        <v>216</v>
      </c>
      <c r="C17" s="455"/>
      <c r="D17" s="80"/>
    </row>
    <row r="18" spans="2:4" hidden="1" x14ac:dyDescent="0.25">
      <c r="B18" s="62" t="s">
        <v>107</v>
      </c>
      <c r="C18" s="454">
        <f>SUM(C13:C17)</f>
        <v>55710459</v>
      </c>
      <c r="D18" s="454">
        <f>SUM(D13:D17)</f>
        <v>59055325</v>
      </c>
    </row>
    <row r="19" spans="2:4" x14ac:dyDescent="0.25">
      <c r="B19" s="58"/>
      <c r="C19" s="306">
        <f>RZiS!D7-'NOTA 3 - Koszty rodzajowe'!C18</f>
        <v>0</v>
      </c>
      <c r="D19" s="306">
        <f>RZiS!E7-'NOTA 3 - Koszty rodzajowe'!D18</f>
        <v>0</v>
      </c>
    </row>
    <row r="20" spans="2:4" x14ac:dyDescent="0.25">
      <c r="B20" s="1"/>
      <c r="C20" s="1"/>
      <c r="D20" s="1"/>
    </row>
    <row r="21" spans="2:4" x14ac:dyDescent="0.25">
      <c r="B21" s="3" t="s">
        <v>401</v>
      </c>
      <c r="C21" s="1"/>
      <c r="D21" s="1"/>
    </row>
    <row r="22" spans="2:4" x14ac:dyDescent="0.25">
      <c r="B22" s="3"/>
      <c r="C22" s="1"/>
      <c r="D22" s="1"/>
    </row>
    <row r="23" spans="2:4" ht="20.399999999999999" x14ac:dyDescent="0.25">
      <c r="B23" s="118" t="s">
        <v>673</v>
      </c>
      <c r="C23" s="118" t="str">
        <f>'Dane podstawowe'!$B$7</f>
        <v>01.01.2020-31.12.2020</v>
      </c>
      <c r="D23" s="118" t="str">
        <f>'Dane podstawowe'!$B$12</f>
        <v>01.01.2019-31.12.2019</v>
      </c>
    </row>
    <row r="24" spans="2:4" x14ac:dyDescent="0.25">
      <c r="B24" s="60" t="s">
        <v>37</v>
      </c>
      <c r="C24" s="158">
        <v>402760</v>
      </c>
      <c r="D24" s="158">
        <v>354039</v>
      </c>
    </row>
    <row r="25" spans="2:4" x14ac:dyDescent="0.25">
      <c r="B25" s="60" t="s">
        <v>38</v>
      </c>
      <c r="C25" s="158">
        <v>2999337</v>
      </c>
      <c r="D25" s="158">
        <f>3027769+36180</f>
        <v>3063949</v>
      </c>
    </row>
    <row r="26" spans="2:4" s="565" customFormat="1" x14ac:dyDescent="0.25">
      <c r="B26" s="60" t="s">
        <v>802</v>
      </c>
      <c r="C26" s="158">
        <v>985598</v>
      </c>
      <c r="D26" s="158">
        <v>757051</v>
      </c>
    </row>
    <row r="27" spans="2:4" x14ac:dyDescent="0.25">
      <c r="B27" s="87" t="s">
        <v>27</v>
      </c>
      <c r="C27" s="454">
        <f>SUM(C24:C26)</f>
        <v>4387695</v>
      </c>
      <c r="D27" s="454">
        <f>SUM(D24:D26)</f>
        <v>4175039</v>
      </c>
    </row>
    <row r="28" spans="2:4" x14ac:dyDescent="0.25">
      <c r="B28" s="58"/>
      <c r="C28" s="457">
        <f>C27-RZiS!D8</f>
        <v>0</v>
      </c>
      <c r="D28" s="457">
        <f>D27-RZiS!E8</f>
        <v>0</v>
      </c>
    </row>
    <row r="29" spans="2:4" x14ac:dyDescent="0.25">
      <c r="B29" s="58"/>
      <c r="C29" s="58"/>
      <c r="D29" s="58"/>
    </row>
  </sheetData>
  <phoneticPr fontId="31" type="noConversion"/>
  <pageMargins left="0.75" right="0.75" top="1" bottom="1" header="0.5" footer="0.5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G47"/>
  <sheetViews>
    <sheetView showGridLines="0" topLeftCell="A37" zoomScaleNormal="100" zoomScaleSheetLayoutView="148" workbookViewId="0">
      <selection activeCell="G40" sqref="G40"/>
    </sheetView>
  </sheetViews>
  <sheetFormatPr defaultColWidth="9.33203125" defaultRowHeight="13.2" x14ac:dyDescent="0.25"/>
  <cols>
    <col min="1" max="1" width="45.5546875" customWidth="1"/>
    <col min="2" max="3" width="17" style="335" customWidth="1"/>
  </cols>
  <sheetData>
    <row r="1" spans="1:7" s="63" customFormat="1" x14ac:dyDescent="0.25">
      <c r="A1" s="38"/>
      <c r="B1" s="332"/>
      <c r="C1" s="332"/>
    </row>
    <row r="2" spans="1:7" s="44" customFormat="1" ht="10.199999999999999" x14ac:dyDescent="0.2">
      <c r="B2" s="370"/>
      <c r="C2" s="370"/>
    </row>
    <row r="3" spans="1:7" s="484" customFormat="1" x14ac:dyDescent="0.25">
      <c r="A3" s="399" t="s">
        <v>565</v>
      </c>
    </row>
    <row r="4" spans="1:7" s="44" customFormat="1" ht="10.199999999999999" x14ac:dyDescent="0.2">
      <c r="A4" s="3"/>
      <c r="B4" s="370"/>
      <c r="C4" s="370"/>
    </row>
    <row r="5" spans="1:7" s="458" customFormat="1" ht="10.199999999999999" x14ac:dyDescent="0.25">
      <c r="A5" s="687" t="s">
        <v>252</v>
      </c>
      <c r="B5" s="574" t="s">
        <v>843</v>
      </c>
      <c r="C5" s="574" t="s">
        <v>756</v>
      </c>
      <c r="E5" s="693"/>
      <c r="F5" s="693"/>
      <c r="G5" s="747">
        <f>762654-B6</f>
        <v>0</v>
      </c>
    </row>
    <row r="6" spans="1:7" s="44" customFormat="1" ht="10.199999999999999" x14ac:dyDescent="0.2">
      <c r="A6" s="686" t="s">
        <v>932</v>
      </c>
      <c r="B6" s="156">
        <f>755658+6996</f>
        <v>762654</v>
      </c>
      <c r="C6" s="156">
        <v>0</v>
      </c>
      <c r="E6" s="694"/>
      <c r="F6" s="695"/>
      <c r="G6" s="695"/>
    </row>
    <row r="7" spans="1:7" s="44" customFormat="1" ht="10.199999999999999" x14ac:dyDescent="0.2">
      <c r="A7" s="686" t="s">
        <v>803</v>
      </c>
      <c r="B7" s="156">
        <v>633164.06999999995</v>
      </c>
      <c r="C7" s="156">
        <v>569036</v>
      </c>
      <c r="E7" s="696"/>
      <c r="F7" s="696"/>
      <c r="G7" s="696"/>
    </row>
    <row r="8" spans="1:7" s="44" customFormat="1" ht="15.75" customHeight="1" x14ac:dyDescent="0.2">
      <c r="A8" s="686" t="s">
        <v>710</v>
      </c>
      <c r="B8" s="156">
        <v>42341</v>
      </c>
      <c r="C8" s="156">
        <v>157526</v>
      </c>
    </row>
    <row r="9" spans="1:7" s="44" customFormat="1" ht="10.199999999999999" x14ac:dyDescent="0.2">
      <c r="A9" s="686" t="s">
        <v>683</v>
      </c>
      <c r="B9" s="156">
        <v>18812.239999999998</v>
      </c>
      <c r="C9" s="156">
        <v>32807</v>
      </c>
    </row>
    <row r="10" spans="1:7" s="44" customFormat="1" ht="10.199999999999999" x14ac:dyDescent="0.2">
      <c r="A10" s="686" t="s">
        <v>933</v>
      </c>
      <c r="B10" s="156">
        <v>8578.9799999999959</v>
      </c>
      <c r="C10" s="156">
        <v>0</v>
      </c>
      <c r="G10" s="370"/>
    </row>
    <row r="11" spans="1:7" s="44" customFormat="1" ht="10.199999999999999" x14ac:dyDescent="0.2">
      <c r="A11" s="686" t="s">
        <v>934</v>
      </c>
      <c r="B11" s="156">
        <v>8009</v>
      </c>
      <c r="C11" s="156">
        <v>0</v>
      </c>
    </row>
    <row r="12" spans="1:7" s="44" customFormat="1" ht="10.199999999999999" x14ac:dyDescent="0.2">
      <c r="A12" s="692" t="s">
        <v>250</v>
      </c>
      <c r="B12" s="156">
        <v>5785</v>
      </c>
      <c r="C12" s="156">
        <v>0</v>
      </c>
    </row>
    <row r="13" spans="1:7" s="44" customFormat="1" ht="10.199999999999999" x14ac:dyDescent="0.2">
      <c r="A13" s="686" t="s">
        <v>711</v>
      </c>
      <c r="B13" s="156">
        <v>0</v>
      </c>
      <c r="C13" s="156">
        <v>83564</v>
      </c>
    </row>
    <row r="14" spans="1:7" s="44" customFormat="1" ht="10.199999999999999" x14ac:dyDescent="0.2">
      <c r="A14" s="686" t="s">
        <v>221</v>
      </c>
      <c r="B14" s="156">
        <v>0</v>
      </c>
      <c r="C14" s="156">
        <v>1320</v>
      </c>
    </row>
    <row r="15" spans="1:7" s="690" customFormat="1" ht="10.199999999999999" x14ac:dyDescent="0.2">
      <c r="A15" s="692" t="s">
        <v>528</v>
      </c>
      <c r="B15" s="156">
        <f>46527.15-6996</f>
        <v>39531.15</v>
      </c>
      <c r="C15" s="156">
        <v>70957</v>
      </c>
    </row>
    <row r="16" spans="1:7" s="52" customFormat="1" ht="10.199999999999999" x14ac:dyDescent="0.2">
      <c r="A16" s="67" t="s">
        <v>27</v>
      </c>
      <c r="B16" s="82">
        <f>SUM(B6:B15)</f>
        <v>1518875.4399999997</v>
      </c>
      <c r="C16" s="82">
        <f>SUM(C6:C15)</f>
        <v>915210</v>
      </c>
    </row>
    <row r="17" spans="1:3" s="44" customFormat="1" ht="10.199999999999999" x14ac:dyDescent="0.2">
      <c r="A17" s="65"/>
      <c r="B17" s="307">
        <f>RZiS!D18-B16</f>
        <v>-0.43999999971129</v>
      </c>
      <c r="C17" s="307">
        <f>RZiS!E18-C16</f>
        <v>0</v>
      </c>
    </row>
    <row r="18" spans="1:3" s="44" customFormat="1" ht="10.199999999999999" x14ac:dyDescent="0.2">
      <c r="A18" s="66"/>
      <c r="B18" s="334"/>
      <c r="C18" s="334"/>
    </row>
    <row r="19" spans="1:3" s="749" customFormat="1" ht="10.199999999999999" x14ac:dyDescent="0.2">
      <c r="A19" s="66" t="s">
        <v>1055</v>
      </c>
      <c r="B19" s="334"/>
      <c r="C19" s="334"/>
    </row>
    <row r="20" spans="1:3" s="749" customFormat="1" ht="10.199999999999999" x14ac:dyDescent="0.2">
      <c r="A20" s="66"/>
      <c r="B20" s="334"/>
      <c r="C20" s="334"/>
    </row>
    <row r="21" spans="1:3" s="749" customFormat="1" ht="10.199999999999999" x14ac:dyDescent="0.2">
      <c r="A21" s="66"/>
      <c r="B21" s="334"/>
      <c r="C21" s="334"/>
    </row>
    <row r="22" spans="1:3" s="749" customFormat="1" ht="10.199999999999999" x14ac:dyDescent="0.2">
      <c r="A22" s="730" t="s">
        <v>1024</v>
      </c>
      <c r="B22" s="730" t="s">
        <v>843</v>
      </c>
      <c r="C22" s="731" t="s">
        <v>756</v>
      </c>
    </row>
    <row r="23" spans="1:3" s="749" customFormat="1" ht="20.399999999999999" x14ac:dyDescent="0.2">
      <c r="A23" s="722" t="s">
        <v>1054</v>
      </c>
      <c r="B23" s="720">
        <v>88344</v>
      </c>
      <c r="C23" s="720">
        <v>99836</v>
      </c>
    </row>
    <row r="24" spans="1:3" s="749" customFormat="1" ht="20.399999999999999" x14ac:dyDescent="0.2">
      <c r="A24" s="722" t="s">
        <v>1039</v>
      </c>
      <c r="B24" s="720">
        <v>544820</v>
      </c>
      <c r="C24" s="720">
        <v>463894</v>
      </c>
    </row>
    <row r="25" spans="1:3" s="749" customFormat="1" ht="10.199999999999999" x14ac:dyDescent="0.2">
      <c r="A25" s="722" t="s">
        <v>1025</v>
      </c>
      <c r="B25" s="720">
        <v>0</v>
      </c>
      <c r="C25" s="720">
        <v>5306</v>
      </c>
    </row>
    <row r="26" spans="1:3" s="749" customFormat="1" x14ac:dyDescent="0.25">
      <c r="A26" s="727" t="s">
        <v>1023</v>
      </c>
      <c r="B26" s="721">
        <f>SUM(B23:B25)</f>
        <v>633164</v>
      </c>
      <c r="C26" s="721">
        <f>SUM(C23:C25)</f>
        <v>569036</v>
      </c>
    </row>
    <row r="27" spans="1:3" s="749" customFormat="1" ht="10.199999999999999" x14ac:dyDescent="0.2">
      <c r="A27" s="66"/>
      <c r="B27" s="334"/>
      <c r="C27" s="334"/>
    </row>
    <row r="28" spans="1:3" s="749" customFormat="1" ht="10.199999999999999" x14ac:dyDescent="0.2">
      <c r="A28" s="66"/>
      <c r="B28" s="334"/>
      <c r="C28" s="334"/>
    </row>
    <row r="29" spans="1:3" s="749" customFormat="1" ht="10.199999999999999" x14ac:dyDescent="0.2">
      <c r="A29" s="66"/>
      <c r="B29" s="334"/>
      <c r="C29" s="334"/>
    </row>
    <row r="30" spans="1:3" s="44" customFormat="1" ht="10.199999999999999" x14ac:dyDescent="0.2">
      <c r="A30" s="500" t="s">
        <v>253</v>
      </c>
      <c r="B30" s="333" t="str">
        <f>B5</f>
        <v>01.01.2020-31.12.2020</v>
      </c>
      <c r="C30" s="333" t="str">
        <f>C5</f>
        <v>01.01.2019-31.12.2019</v>
      </c>
    </row>
    <row r="31" spans="1:3" s="44" customFormat="1" ht="10.199999999999999" x14ac:dyDescent="0.2">
      <c r="A31" s="697" t="s">
        <v>935</v>
      </c>
      <c r="B31" s="157">
        <v>696511</v>
      </c>
      <c r="C31" s="157">
        <v>0</v>
      </c>
    </row>
    <row r="32" spans="1:3" s="44" customFormat="1" ht="10.199999999999999" x14ac:dyDescent="0.2">
      <c r="A32" s="698" t="s">
        <v>936</v>
      </c>
      <c r="B32" s="157">
        <v>577862</v>
      </c>
      <c r="C32" s="157">
        <v>0</v>
      </c>
    </row>
    <row r="33" spans="1:3" s="44" customFormat="1" ht="10.199999999999999" x14ac:dyDescent="0.2">
      <c r="A33" s="698" t="s">
        <v>937</v>
      </c>
      <c r="B33" s="157">
        <v>200000</v>
      </c>
      <c r="C33" s="157">
        <v>0</v>
      </c>
    </row>
    <row r="34" spans="1:3" s="685" customFormat="1" ht="10.199999999999999" x14ac:dyDescent="0.2">
      <c r="A34" s="686" t="s">
        <v>598</v>
      </c>
      <c r="B34" s="157">
        <v>53056.72</v>
      </c>
      <c r="C34" s="157">
        <v>10637</v>
      </c>
    </row>
    <row r="35" spans="1:3" s="685" customFormat="1" ht="10.199999999999999" x14ac:dyDescent="0.2">
      <c r="A35" s="698" t="s">
        <v>938</v>
      </c>
      <c r="B35" s="157">
        <v>29612.260000000009</v>
      </c>
      <c r="C35" s="157">
        <v>0</v>
      </c>
    </row>
    <row r="36" spans="1:3" s="685" customFormat="1" ht="10.199999999999999" x14ac:dyDescent="0.2">
      <c r="A36" s="686" t="s">
        <v>711</v>
      </c>
      <c r="B36" s="157">
        <v>17443</v>
      </c>
      <c r="C36" s="157">
        <v>111102</v>
      </c>
    </row>
    <row r="37" spans="1:3" s="44" customFormat="1" ht="10.199999999999999" x14ac:dyDescent="0.2">
      <c r="A37" s="686" t="s">
        <v>710</v>
      </c>
      <c r="B37" s="157">
        <v>12601</v>
      </c>
      <c r="C37" s="157">
        <v>85266</v>
      </c>
    </row>
    <row r="38" spans="1:3" s="44" customFormat="1" ht="12" customHeight="1" x14ac:dyDescent="0.2">
      <c r="A38" s="698" t="s">
        <v>939</v>
      </c>
      <c r="B38" s="157">
        <v>7500</v>
      </c>
      <c r="C38" s="157">
        <v>0</v>
      </c>
    </row>
    <row r="39" spans="1:3" s="44" customFormat="1" ht="10.199999999999999" x14ac:dyDescent="0.2">
      <c r="A39" s="686" t="s">
        <v>251</v>
      </c>
      <c r="B39" s="157">
        <v>1000</v>
      </c>
      <c r="C39" s="157">
        <v>0</v>
      </c>
    </row>
    <row r="40" spans="1:3" s="44" customFormat="1" ht="10.199999999999999" x14ac:dyDescent="0.2">
      <c r="A40" s="686" t="s">
        <v>878</v>
      </c>
      <c r="B40" s="450">
        <v>0</v>
      </c>
      <c r="C40" s="450">
        <v>776082</v>
      </c>
    </row>
    <row r="41" spans="1:3" s="44" customFormat="1" ht="10.199999999999999" x14ac:dyDescent="0.2">
      <c r="A41" s="686" t="s">
        <v>295</v>
      </c>
      <c r="B41" s="157">
        <v>0</v>
      </c>
      <c r="C41" s="157">
        <v>5000</v>
      </c>
    </row>
    <row r="42" spans="1:3" s="612" customFormat="1" ht="10.199999999999999" x14ac:dyDescent="0.2">
      <c r="A42" s="686" t="s">
        <v>222</v>
      </c>
      <c r="B42" s="157">
        <v>0</v>
      </c>
      <c r="C42" s="157">
        <v>2141</v>
      </c>
    </row>
    <row r="43" spans="1:3" s="44" customFormat="1" ht="10.199999999999999" x14ac:dyDescent="0.2">
      <c r="A43" s="686" t="s">
        <v>599</v>
      </c>
      <c r="B43" s="157">
        <v>0</v>
      </c>
      <c r="C43" s="157">
        <v>2412</v>
      </c>
    </row>
    <row r="44" spans="1:3" s="690" customFormat="1" ht="10.199999999999999" x14ac:dyDescent="0.2">
      <c r="A44" s="691" t="s">
        <v>528</v>
      </c>
      <c r="B44" s="157">
        <v>34354.33</v>
      </c>
      <c r="C44" s="157">
        <v>53142</v>
      </c>
    </row>
    <row r="45" spans="1:3" s="52" customFormat="1" ht="10.199999999999999" x14ac:dyDescent="0.2">
      <c r="A45" s="69" t="s">
        <v>27</v>
      </c>
      <c r="B45" s="82">
        <f>SUM(B31:B44)</f>
        <v>1629940.31</v>
      </c>
      <c r="C45" s="82">
        <f>SUM(C31:C44)</f>
        <v>1045782</v>
      </c>
    </row>
    <row r="46" spans="1:3" s="52" customFormat="1" ht="10.199999999999999" x14ac:dyDescent="0.2">
      <c r="A46" s="12"/>
      <c r="B46" s="416">
        <f>RZiS!D19-B45</f>
        <v>-0.31000000005587935</v>
      </c>
      <c r="C46" s="416">
        <f>RZiS!E19-C45</f>
        <v>0</v>
      </c>
    </row>
    <row r="47" spans="1:3" x14ac:dyDescent="0.25">
      <c r="A47" s="308"/>
    </row>
  </sheetData>
  <phoneticPr fontId="31" type="noConversion"/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G32"/>
  <sheetViews>
    <sheetView showGridLines="0" view="pageBreakPreview" zoomScaleNormal="100" zoomScaleSheetLayoutView="100" workbookViewId="0">
      <selection activeCell="C40" sqref="C40"/>
    </sheetView>
  </sheetViews>
  <sheetFormatPr defaultColWidth="9.33203125" defaultRowHeight="13.2" x14ac:dyDescent="0.25"/>
  <cols>
    <col min="1" max="1" width="42" customWidth="1"/>
    <col min="2" max="3" width="16.5546875" style="335" customWidth="1"/>
    <col min="4" max="9" width="16.5546875" customWidth="1"/>
  </cols>
  <sheetData>
    <row r="1" spans="1:7" x14ac:dyDescent="0.25">
      <c r="A1" s="38"/>
    </row>
    <row r="2" spans="1:7" x14ac:dyDescent="0.25">
      <c r="B2" s="336"/>
      <c r="C2" s="336"/>
    </row>
    <row r="3" spans="1:7" x14ac:dyDescent="0.25">
      <c r="A3" s="399" t="s">
        <v>566</v>
      </c>
      <c r="B3" s="370"/>
      <c r="C3" s="370"/>
    </row>
    <row r="4" spans="1:7" x14ac:dyDescent="0.25">
      <c r="A4" s="399"/>
      <c r="B4" s="370"/>
      <c r="C4" s="370"/>
    </row>
    <row r="5" spans="1:7" x14ac:dyDescent="0.25">
      <c r="A5" s="142" t="s">
        <v>315</v>
      </c>
      <c r="B5" s="333" t="str">
        <f>'Dane podstawowe'!B7</f>
        <v>01.01.2020-31.12.2020</v>
      </c>
      <c r="C5" s="699" t="str">
        <f>'Dane podstawowe'!B12</f>
        <v>01.01.2019-31.12.2019</v>
      </c>
      <c r="D5" s="700"/>
      <c r="E5" s="700"/>
      <c r="F5" s="700"/>
      <c r="G5" s="700"/>
    </row>
    <row r="6" spans="1:7" x14ac:dyDescent="0.25">
      <c r="A6" s="46" t="s">
        <v>355</v>
      </c>
      <c r="B6" s="417">
        <v>31306.080000000002</v>
      </c>
      <c r="C6" s="83">
        <f>31421+4434</f>
        <v>35855</v>
      </c>
      <c r="D6" s="700"/>
      <c r="E6" s="700"/>
      <c r="F6" s="700"/>
      <c r="G6" s="700"/>
    </row>
    <row r="7" spans="1:7" ht="21" hidden="1" x14ac:dyDescent="0.25">
      <c r="A7" s="46" t="s">
        <v>254</v>
      </c>
      <c r="B7" s="159"/>
      <c r="C7" s="701"/>
      <c r="D7" s="700"/>
      <c r="E7" s="700"/>
      <c r="F7" s="700"/>
      <c r="G7" s="700"/>
    </row>
    <row r="8" spans="1:7" ht="21" hidden="1" x14ac:dyDescent="0.25">
      <c r="A8" s="46" t="s">
        <v>255</v>
      </c>
      <c r="B8" s="159"/>
      <c r="C8" s="701"/>
      <c r="D8" s="700"/>
      <c r="E8" s="700"/>
      <c r="F8" s="700"/>
      <c r="G8" s="700"/>
    </row>
    <row r="9" spans="1:7" hidden="1" x14ac:dyDescent="0.25">
      <c r="A9" s="46" t="s">
        <v>256</v>
      </c>
      <c r="B9" s="157"/>
      <c r="C9" s="156"/>
      <c r="D9" s="700"/>
      <c r="E9" s="700"/>
      <c r="F9" s="700"/>
      <c r="G9" s="700"/>
    </row>
    <row r="10" spans="1:7" hidden="1" x14ac:dyDescent="0.25">
      <c r="A10" s="46" t="s">
        <v>257</v>
      </c>
      <c r="B10" s="157"/>
      <c r="C10" s="156"/>
      <c r="D10" s="700"/>
      <c r="E10" s="700"/>
      <c r="F10" s="700"/>
      <c r="G10" s="700"/>
    </row>
    <row r="11" spans="1:7" x14ac:dyDescent="0.25">
      <c r="A11" s="46" t="s">
        <v>258</v>
      </c>
      <c r="B11" s="157">
        <v>6939</v>
      </c>
      <c r="C11" s="156">
        <v>34310</v>
      </c>
      <c r="D11" s="700"/>
      <c r="E11" s="700"/>
      <c r="F11" s="700"/>
      <c r="G11" s="700"/>
    </row>
    <row r="12" spans="1:7" hidden="1" x14ac:dyDescent="0.25">
      <c r="A12" s="46" t="s">
        <v>259</v>
      </c>
      <c r="B12" s="157"/>
      <c r="C12" s="156"/>
    </row>
    <row r="13" spans="1:7" hidden="1" x14ac:dyDescent="0.25">
      <c r="A13" s="46" t="s">
        <v>603</v>
      </c>
      <c r="B13" s="157"/>
      <c r="C13" s="156"/>
    </row>
    <row r="14" spans="1:7" hidden="1" x14ac:dyDescent="0.25">
      <c r="A14" s="46" t="s">
        <v>266</v>
      </c>
      <c r="B14" s="157"/>
      <c r="C14" s="156"/>
    </row>
    <row r="15" spans="1:7" hidden="1" x14ac:dyDescent="0.25">
      <c r="A15" s="46" t="s">
        <v>266</v>
      </c>
      <c r="B15" s="157"/>
      <c r="C15" s="156"/>
    </row>
    <row r="16" spans="1:7" x14ac:dyDescent="0.25">
      <c r="A16" s="55" t="s">
        <v>839</v>
      </c>
      <c r="B16" s="157">
        <v>0</v>
      </c>
      <c r="C16" s="156">
        <v>79645</v>
      </c>
    </row>
    <row r="17" spans="1:3" s="565" customFormat="1" x14ac:dyDescent="0.25">
      <c r="A17" s="55" t="s">
        <v>528</v>
      </c>
      <c r="B17" s="157">
        <v>8477.9</v>
      </c>
      <c r="C17" s="156">
        <v>562</v>
      </c>
    </row>
    <row r="18" spans="1:3" x14ac:dyDescent="0.25">
      <c r="A18" s="56" t="s">
        <v>27</v>
      </c>
      <c r="B18" s="82">
        <f>SUM(B6:B17)</f>
        <v>46722.98</v>
      </c>
      <c r="C18" s="82">
        <f>SUM(C6:C17)</f>
        <v>150372</v>
      </c>
    </row>
    <row r="19" spans="1:3" x14ac:dyDescent="0.25">
      <c r="A19" s="58"/>
      <c r="B19" s="306">
        <f>B18-RZiS!D22</f>
        <v>-1.9999999996798579E-2</v>
      </c>
      <c r="C19" s="306">
        <f>C18-RZiS!E22</f>
        <v>0</v>
      </c>
    </row>
    <row r="20" spans="1:3" x14ac:dyDescent="0.25">
      <c r="A20" s="58"/>
      <c r="B20" s="334"/>
      <c r="C20" s="334"/>
    </row>
    <row r="21" spans="1:3" x14ac:dyDescent="0.25">
      <c r="A21" s="52"/>
      <c r="B21" s="370"/>
      <c r="C21" s="370"/>
    </row>
    <row r="22" spans="1:3" x14ac:dyDescent="0.25">
      <c r="A22" s="71" t="s">
        <v>526</v>
      </c>
      <c r="B22" s="337" t="str">
        <f>B5</f>
        <v>01.01.2020-31.12.2020</v>
      </c>
      <c r="C22" s="337" t="str">
        <f>C5</f>
        <v>01.01.2019-31.12.2019</v>
      </c>
    </row>
    <row r="23" spans="1:3" x14ac:dyDescent="0.25">
      <c r="A23" s="686" t="s">
        <v>260</v>
      </c>
      <c r="B23" s="157">
        <v>71115</v>
      </c>
      <c r="C23" s="157">
        <v>118535</v>
      </c>
    </row>
    <row r="24" spans="1:3" x14ac:dyDescent="0.25">
      <c r="A24" s="686" t="s">
        <v>261</v>
      </c>
      <c r="B24" s="157">
        <v>64192.819999999992</v>
      </c>
      <c r="C24" s="157">
        <v>8065</v>
      </c>
    </row>
    <row r="25" spans="1:3" x14ac:dyDescent="0.25">
      <c r="A25" s="686" t="s">
        <v>940</v>
      </c>
      <c r="B25" s="157">
        <v>33920</v>
      </c>
      <c r="C25" s="157">
        <v>0</v>
      </c>
    </row>
    <row r="26" spans="1:3" x14ac:dyDescent="0.25">
      <c r="A26" s="686" t="s">
        <v>806</v>
      </c>
      <c r="B26" s="157">
        <v>31254.81</v>
      </c>
      <c r="C26" s="157">
        <v>108111</v>
      </c>
    </row>
    <row r="27" spans="1:3" x14ac:dyDescent="0.25">
      <c r="A27" s="686" t="s">
        <v>804</v>
      </c>
      <c r="B27" s="157">
        <v>0</v>
      </c>
      <c r="C27" s="157">
        <v>43477</v>
      </c>
    </row>
    <row r="28" spans="1:3" x14ac:dyDescent="0.25">
      <c r="A28" s="686" t="s">
        <v>805</v>
      </c>
      <c r="B28" s="157">
        <v>0</v>
      </c>
      <c r="C28" s="157">
        <v>212</v>
      </c>
    </row>
    <row r="29" spans="1:3" x14ac:dyDescent="0.25">
      <c r="A29" s="70" t="s">
        <v>879</v>
      </c>
      <c r="B29" s="157">
        <v>0</v>
      </c>
      <c r="C29" s="157">
        <v>29488</v>
      </c>
    </row>
    <row r="30" spans="1:3" s="565" customFormat="1" x14ac:dyDescent="0.25">
      <c r="A30" s="691" t="s">
        <v>528</v>
      </c>
      <c r="B30" s="157">
        <v>2932.0200000000004</v>
      </c>
      <c r="C30" s="157">
        <v>29247</v>
      </c>
    </row>
    <row r="31" spans="1:3" s="565" customFormat="1" x14ac:dyDescent="0.25">
      <c r="A31" s="56" t="s">
        <v>27</v>
      </c>
      <c r="B31" s="82">
        <f>SUM(B23:B30)</f>
        <v>203414.65</v>
      </c>
      <c r="C31" s="82">
        <f>SUM(C23:C30)</f>
        <v>337135</v>
      </c>
    </row>
    <row r="32" spans="1:3" x14ac:dyDescent="0.25">
      <c r="B32" s="306">
        <f>B31-RZiS!D23</f>
        <v>-0.35000000000582077</v>
      </c>
      <c r="C32" s="306">
        <f>C31-RZiS!E23</f>
        <v>0</v>
      </c>
    </row>
  </sheetData>
  <phoneticPr fontId="31" type="noConversion"/>
  <pageMargins left="0.7" right="0.7" top="0.75" bottom="0.75" header="0.3" footer="0.3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1:J92"/>
  <sheetViews>
    <sheetView showGridLines="0" view="pageBreakPreview" topLeftCell="A62" zoomScaleNormal="100" zoomScaleSheetLayoutView="100" workbookViewId="0">
      <selection activeCell="D24" sqref="D22:D24"/>
    </sheetView>
  </sheetViews>
  <sheetFormatPr defaultColWidth="9.33203125" defaultRowHeight="13.2" x14ac:dyDescent="0.25"/>
  <cols>
    <col min="1" max="1" width="3.33203125" customWidth="1"/>
    <col min="2" max="2" width="45" bestFit="1" customWidth="1"/>
    <col min="3" max="4" width="14" style="335" customWidth="1"/>
    <col min="5" max="5" width="14.44140625" customWidth="1"/>
    <col min="6" max="6" width="10.5546875" customWidth="1"/>
    <col min="7" max="7" width="15.33203125" customWidth="1"/>
  </cols>
  <sheetData>
    <row r="1" spans="2:10" x14ac:dyDescent="0.25">
      <c r="B1" s="38"/>
    </row>
    <row r="2" spans="2:10" x14ac:dyDescent="0.25">
      <c r="C2" s="245"/>
      <c r="D2" s="245"/>
      <c r="E2" s="1"/>
      <c r="F2" s="1"/>
    </row>
    <row r="3" spans="2:10" x14ac:dyDescent="0.25">
      <c r="B3" s="399" t="s">
        <v>567</v>
      </c>
      <c r="C3" s="245"/>
      <c r="D3" s="245"/>
      <c r="E3" s="1"/>
      <c r="F3" s="565"/>
      <c r="G3" s="565"/>
      <c r="H3" s="565"/>
      <c r="I3" s="565"/>
      <c r="J3" s="565"/>
    </row>
    <row r="4" spans="2:10" x14ac:dyDescent="0.25">
      <c r="B4" s="3"/>
      <c r="C4" s="245"/>
      <c r="D4" s="245"/>
      <c r="E4" s="1"/>
      <c r="F4" s="565"/>
      <c r="G4" s="565"/>
      <c r="H4" s="565"/>
      <c r="I4" s="565"/>
      <c r="J4" s="565"/>
    </row>
    <row r="5" spans="2:10" ht="20.399999999999999" x14ac:dyDescent="0.25">
      <c r="B5" s="118" t="s">
        <v>400</v>
      </c>
      <c r="C5" s="333" t="str">
        <f>'Dane podstawowe'!B7</f>
        <v>01.01.2020-31.12.2020</v>
      </c>
      <c r="D5" s="333" t="str">
        <f>'Dane podstawowe'!B12</f>
        <v>01.01.2019-31.12.2019</v>
      </c>
      <c r="E5" s="1"/>
      <c r="F5" s="565"/>
      <c r="G5" s="565"/>
      <c r="H5" s="565"/>
      <c r="I5" s="565"/>
      <c r="J5" s="565"/>
    </row>
    <row r="6" spans="2:10" x14ac:dyDescent="0.25">
      <c r="B6" s="56" t="s">
        <v>40</v>
      </c>
      <c r="C6" s="79">
        <f>SUM(C7:C8)</f>
        <v>70482</v>
      </c>
      <c r="D6" s="79">
        <f>SUM(D7:D8)</f>
        <v>439263</v>
      </c>
      <c r="E6" s="1"/>
      <c r="F6" s="565"/>
      <c r="G6" s="565"/>
      <c r="H6" s="565"/>
      <c r="I6" s="565"/>
      <c r="J6" s="565"/>
    </row>
    <row r="7" spans="2:10" x14ac:dyDescent="0.25">
      <c r="B7" s="55" t="s">
        <v>223</v>
      </c>
      <c r="C7" s="119">
        <v>90908</v>
      </c>
      <c r="D7" s="119">
        <v>439263</v>
      </c>
      <c r="E7" s="1"/>
      <c r="F7" s="565"/>
      <c r="G7" s="565"/>
      <c r="H7" s="565"/>
      <c r="I7" s="565"/>
      <c r="J7" s="565"/>
    </row>
    <row r="8" spans="2:10" x14ac:dyDescent="0.25">
      <c r="B8" s="55" t="s">
        <v>224</v>
      </c>
      <c r="C8" s="507">
        <v>-20426</v>
      </c>
      <c r="D8" s="80">
        <v>0</v>
      </c>
      <c r="E8" s="1"/>
      <c r="F8" s="565"/>
      <c r="G8" s="565"/>
      <c r="H8" s="565"/>
      <c r="I8" s="565"/>
    </row>
    <row r="9" spans="2:10" x14ac:dyDescent="0.25">
      <c r="B9" s="56" t="s">
        <v>41</v>
      </c>
      <c r="C9" s="508">
        <f>SUM(C10:C11)</f>
        <v>-443095</v>
      </c>
      <c r="D9" s="79">
        <f>SUM(D10:D11)</f>
        <v>-224847</v>
      </c>
      <c r="E9" s="1"/>
      <c r="F9" s="565"/>
      <c r="G9" s="565"/>
      <c r="H9" s="565"/>
      <c r="I9" s="565"/>
    </row>
    <row r="10" spans="2:10" x14ac:dyDescent="0.25">
      <c r="B10" s="55" t="s">
        <v>42</v>
      </c>
      <c r="C10" s="507">
        <v>-443095</v>
      </c>
      <c r="D10" s="80">
        <f>-225405+558</f>
        <v>-224847</v>
      </c>
      <c r="E10" s="1"/>
      <c r="F10" s="565"/>
      <c r="G10" s="565"/>
      <c r="H10" s="565"/>
      <c r="I10" s="565"/>
    </row>
    <row r="11" spans="2:10" x14ac:dyDescent="0.25">
      <c r="B11" s="55" t="s">
        <v>291</v>
      </c>
      <c r="C11" s="507">
        <v>0</v>
      </c>
      <c r="D11" s="80">
        <v>0</v>
      </c>
      <c r="E11" s="1"/>
      <c r="F11" s="565"/>
      <c r="G11" s="565"/>
      <c r="H11" s="565"/>
      <c r="I11" s="565"/>
    </row>
    <row r="12" spans="2:10" ht="20.399999999999999" x14ac:dyDescent="0.25">
      <c r="B12" s="56" t="s">
        <v>43</v>
      </c>
      <c r="C12" s="82">
        <f>SUM(C6,C9)</f>
        <v>-372613</v>
      </c>
      <c r="D12" s="82">
        <f>SUM(D6,D9)</f>
        <v>214416</v>
      </c>
      <c r="E12" s="1"/>
      <c r="F12" s="565"/>
      <c r="G12" s="565"/>
      <c r="H12" s="565"/>
      <c r="I12" s="565"/>
    </row>
    <row r="13" spans="2:10" x14ac:dyDescent="0.25">
      <c r="B13" s="12"/>
      <c r="C13" s="306">
        <f>RZiS!D27-'NOTA 6 - Podatek '!C12</f>
        <v>0</v>
      </c>
      <c r="D13" s="306">
        <f>RZiS!E27-'NOTA 6 - Podatek '!D12</f>
        <v>0</v>
      </c>
      <c r="E13" s="1"/>
      <c r="F13" s="565"/>
      <c r="G13" s="565"/>
      <c r="H13" s="565"/>
      <c r="I13" s="565"/>
    </row>
    <row r="14" spans="2:10" x14ac:dyDescent="0.25">
      <c r="B14" s="12"/>
      <c r="C14" s="241"/>
      <c r="D14" s="241"/>
      <c r="E14" s="1"/>
      <c r="F14" s="565"/>
      <c r="G14" s="565"/>
      <c r="H14" s="565"/>
      <c r="I14" s="565"/>
    </row>
    <row r="15" spans="2:10" ht="20.399999999999999" x14ac:dyDescent="0.25">
      <c r="B15" s="741" t="s">
        <v>40</v>
      </c>
      <c r="C15" s="742" t="s">
        <v>1041</v>
      </c>
      <c r="D15" s="742" t="s">
        <v>1042</v>
      </c>
      <c r="E15" s="1"/>
      <c r="F15" s="565"/>
      <c r="G15" s="565"/>
      <c r="H15" s="565"/>
      <c r="I15" s="689"/>
    </row>
    <row r="16" spans="2:10" x14ac:dyDescent="0.25">
      <c r="B16" s="743" t="s">
        <v>262</v>
      </c>
      <c r="C16" s="744">
        <v>188231</v>
      </c>
      <c r="D16" s="744">
        <v>3316339</v>
      </c>
      <c r="E16" s="1"/>
      <c r="F16" s="565"/>
      <c r="G16" s="565"/>
      <c r="H16" s="565"/>
      <c r="I16" s="689"/>
    </row>
    <row r="17" spans="2:9" x14ac:dyDescent="0.25">
      <c r="B17" s="745" t="s">
        <v>1043</v>
      </c>
      <c r="C17" s="746">
        <v>-1565042</v>
      </c>
      <c r="D17" s="746">
        <v>-4326514</v>
      </c>
      <c r="E17" s="1"/>
      <c r="F17" s="565"/>
      <c r="G17" s="565"/>
      <c r="H17" s="565"/>
      <c r="I17" s="689"/>
    </row>
    <row r="18" spans="2:9" x14ac:dyDescent="0.25">
      <c r="B18" s="743" t="s">
        <v>1044</v>
      </c>
      <c r="C18" s="744">
        <v>-1376811</v>
      </c>
      <c r="D18" s="744">
        <v>-1010175</v>
      </c>
      <c r="E18" s="1"/>
      <c r="F18" s="565"/>
      <c r="G18" s="565"/>
      <c r="H18" s="565"/>
      <c r="I18" s="688"/>
    </row>
    <row r="19" spans="2:9" x14ac:dyDescent="0.25">
      <c r="B19" s="743" t="s">
        <v>1045</v>
      </c>
      <c r="C19" s="744">
        <v>-372613</v>
      </c>
      <c r="D19" s="744">
        <v>214416</v>
      </c>
      <c r="E19" s="1"/>
      <c r="F19" s="565"/>
      <c r="G19" s="565"/>
      <c r="H19" s="565"/>
    </row>
    <row r="20" spans="2:9" x14ac:dyDescent="0.25">
      <c r="B20" s="745" t="s">
        <v>1046</v>
      </c>
      <c r="C20" s="746">
        <f>0.19*C18</f>
        <v>-261594.09</v>
      </c>
      <c r="D20" s="746">
        <f>0.19*D18</f>
        <v>-191933.25</v>
      </c>
      <c r="E20" s="4"/>
      <c r="F20" s="4"/>
    </row>
    <row r="21" spans="2:9" x14ac:dyDescent="0.25">
      <c r="B21" s="743" t="s">
        <v>1047</v>
      </c>
      <c r="C21" s="744">
        <f>SUM(C22:C25)</f>
        <v>-111019</v>
      </c>
      <c r="D21" s="744">
        <f>SUM(D22:D25)</f>
        <v>406349</v>
      </c>
      <c r="E21" s="4"/>
      <c r="F21" s="4"/>
    </row>
    <row r="22" spans="2:9" s="565" customFormat="1" ht="21" x14ac:dyDescent="0.25">
      <c r="B22" s="745" t="s">
        <v>1048</v>
      </c>
      <c r="C22" s="746">
        <v>-247554</v>
      </c>
      <c r="D22" s="746">
        <v>-561562</v>
      </c>
      <c r="E22" s="4"/>
      <c r="F22" s="4"/>
    </row>
    <row r="23" spans="2:9" s="565" customFormat="1" ht="21" x14ac:dyDescent="0.25">
      <c r="B23" s="745" t="s">
        <v>1049</v>
      </c>
      <c r="C23" s="746">
        <v>465512</v>
      </c>
      <c r="D23" s="746">
        <v>1111310</v>
      </c>
      <c r="E23" s="4"/>
      <c r="F23" s="4"/>
    </row>
    <row r="24" spans="2:9" s="565" customFormat="1" x14ac:dyDescent="0.25">
      <c r="B24" s="745" t="s">
        <v>1050</v>
      </c>
      <c r="C24" s="746">
        <v>-308551</v>
      </c>
      <c r="D24" s="746">
        <v>-143399</v>
      </c>
      <c r="E24" s="4"/>
      <c r="F24" s="4"/>
    </row>
    <row r="25" spans="2:9" ht="21" x14ac:dyDescent="0.25">
      <c r="B25" s="745" t="s">
        <v>1051</v>
      </c>
      <c r="C25" s="746">
        <v>-20426</v>
      </c>
      <c r="D25" s="746">
        <v>0</v>
      </c>
      <c r="E25" s="4"/>
      <c r="F25" s="4"/>
    </row>
    <row r="26" spans="2:9" x14ac:dyDescent="0.25">
      <c r="B26" s="72"/>
      <c r="C26" s="338"/>
      <c r="D26" s="338"/>
      <c r="E26" s="11"/>
      <c r="F26" s="11"/>
    </row>
    <row r="27" spans="2:9" ht="24" customHeight="1" x14ac:dyDescent="0.25">
      <c r="B27" s="792" t="s">
        <v>1052</v>
      </c>
      <c r="C27" s="792"/>
      <c r="D27" s="792"/>
      <c r="E27" s="11"/>
      <c r="F27" s="11"/>
    </row>
    <row r="28" spans="2:9" x14ac:dyDescent="0.25">
      <c r="B28" s="73"/>
      <c r="C28" s="476"/>
      <c r="D28" s="476"/>
      <c r="E28" s="11"/>
      <c r="F28" s="11"/>
    </row>
    <row r="29" spans="2:9" x14ac:dyDescent="0.25">
      <c r="B29" s="73"/>
      <c r="C29" s="339"/>
      <c r="D29" s="339"/>
      <c r="E29" s="11"/>
      <c r="F29" s="11"/>
    </row>
    <row r="30" spans="2:9" x14ac:dyDescent="0.25">
      <c r="B30" s="73"/>
      <c r="C30" s="339"/>
      <c r="D30" s="339"/>
      <c r="E30" s="11"/>
      <c r="F30" s="11"/>
    </row>
    <row r="31" spans="2:9" x14ac:dyDescent="0.25">
      <c r="B31" s="73"/>
      <c r="C31" s="339"/>
      <c r="D31" s="339"/>
      <c r="E31" s="11"/>
      <c r="F31" s="11"/>
    </row>
    <row r="32" spans="2:9" x14ac:dyDescent="0.25">
      <c r="B32" s="73"/>
      <c r="C32" s="339"/>
      <c r="D32" s="339"/>
      <c r="E32" s="11"/>
      <c r="F32" s="11"/>
    </row>
    <row r="33" spans="2:6" x14ac:dyDescent="0.25">
      <c r="B33" s="73"/>
      <c r="C33" s="339"/>
      <c r="D33" s="339"/>
      <c r="E33" s="11"/>
      <c r="F33" s="11"/>
    </row>
    <row r="34" spans="2:6" s="31" customFormat="1" ht="20.399999999999999" x14ac:dyDescent="0.25">
      <c r="B34" s="563" t="s">
        <v>421</v>
      </c>
      <c r="C34" s="564">
        <v>43830</v>
      </c>
      <c r="D34" s="564" t="s">
        <v>225</v>
      </c>
      <c r="E34" s="564" t="s">
        <v>226</v>
      </c>
      <c r="F34" s="564">
        <v>44196</v>
      </c>
    </row>
    <row r="35" spans="2:6" x14ac:dyDescent="0.25">
      <c r="B35" s="567" t="s">
        <v>292</v>
      </c>
      <c r="C35" s="568">
        <v>51375</v>
      </c>
      <c r="D35" s="573">
        <v>730987</v>
      </c>
      <c r="E35" s="573">
        <v>468683</v>
      </c>
      <c r="F35" s="573">
        <f>C35+D35-E35</f>
        <v>313679</v>
      </c>
    </row>
    <row r="36" spans="2:6" x14ac:dyDescent="0.25">
      <c r="B36" s="566" t="s">
        <v>293</v>
      </c>
      <c r="C36" s="568">
        <v>410635</v>
      </c>
      <c r="D36" s="573">
        <v>387309</v>
      </c>
      <c r="E36" s="573">
        <v>200804</v>
      </c>
      <c r="F36" s="573">
        <f t="shared" ref="F36:F47" si="0">C36+D36-E36</f>
        <v>597140</v>
      </c>
    </row>
    <row r="37" spans="2:6" x14ac:dyDescent="0.25">
      <c r="B37" s="566" t="s">
        <v>614</v>
      </c>
      <c r="C37" s="568">
        <v>55000</v>
      </c>
      <c r="D37" s="573">
        <v>59000</v>
      </c>
      <c r="E37" s="573">
        <v>73000</v>
      </c>
      <c r="F37" s="573">
        <f t="shared" si="0"/>
        <v>41000</v>
      </c>
    </row>
    <row r="38" spans="2:6" x14ac:dyDescent="0.25">
      <c r="B38" s="566" t="s">
        <v>294</v>
      </c>
      <c r="C38" s="568">
        <v>811651</v>
      </c>
      <c r="D38" s="573">
        <v>2864792</v>
      </c>
      <c r="E38" s="573">
        <v>2327015</v>
      </c>
      <c r="F38" s="573">
        <f t="shared" si="0"/>
        <v>1349428</v>
      </c>
    </row>
    <row r="39" spans="2:6" x14ac:dyDescent="0.25">
      <c r="B39" s="567" t="s">
        <v>29</v>
      </c>
      <c r="C39" s="568">
        <v>30995</v>
      </c>
      <c r="D39" s="573">
        <v>15882</v>
      </c>
      <c r="E39" s="573">
        <v>30989</v>
      </c>
      <c r="F39" s="573">
        <f t="shared" si="0"/>
        <v>15888</v>
      </c>
    </row>
    <row r="40" spans="2:6" hidden="1" x14ac:dyDescent="0.25">
      <c r="B40" s="570" t="s">
        <v>619</v>
      </c>
      <c r="C40" s="569">
        <v>0</v>
      </c>
      <c r="D40" s="573">
        <v>-0.47000000000116415</v>
      </c>
      <c r="E40" s="573">
        <v>0</v>
      </c>
      <c r="F40" s="573">
        <f t="shared" si="0"/>
        <v>-0.47000000000116415</v>
      </c>
    </row>
    <row r="41" spans="2:6" x14ac:dyDescent="0.25">
      <c r="B41" s="566" t="s">
        <v>449</v>
      </c>
      <c r="C41" s="568">
        <v>701088</v>
      </c>
      <c r="D41" s="573">
        <v>1084766</v>
      </c>
      <c r="E41" s="573">
        <v>365026</v>
      </c>
      <c r="F41" s="573">
        <f t="shared" si="0"/>
        <v>1420828</v>
      </c>
    </row>
    <row r="42" spans="2:6" x14ac:dyDescent="0.25">
      <c r="B42" s="566" t="s">
        <v>295</v>
      </c>
      <c r="C42" s="568">
        <v>105075</v>
      </c>
      <c r="D42" s="573">
        <v>0</v>
      </c>
      <c r="E42" s="573">
        <v>105075</v>
      </c>
      <c r="F42" s="573">
        <f t="shared" si="0"/>
        <v>0</v>
      </c>
    </row>
    <row r="43" spans="2:6" x14ac:dyDescent="0.25">
      <c r="B43" s="566" t="s">
        <v>610</v>
      </c>
      <c r="C43" s="568">
        <v>1420633</v>
      </c>
      <c r="D43" s="573">
        <v>432252</v>
      </c>
      <c r="E43" s="573">
        <v>945896</v>
      </c>
      <c r="F43" s="573">
        <f t="shared" si="0"/>
        <v>906989</v>
      </c>
    </row>
    <row r="44" spans="2:6" s="565" customFormat="1" ht="21" x14ac:dyDescent="0.25">
      <c r="B44" s="566" t="s">
        <v>305</v>
      </c>
      <c r="C44" s="568">
        <v>675735</v>
      </c>
      <c r="D44" s="573">
        <v>1660984</v>
      </c>
      <c r="E44" s="573">
        <v>1643771</v>
      </c>
      <c r="F44" s="573">
        <f t="shared" si="0"/>
        <v>692948</v>
      </c>
    </row>
    <row r="45" spans="2:6" s="565" customFormat="1" x14ac:dyDescent="0.25">
      <c r="B45" s="566" t="s">
        <v>751</v>
      </c>
      <c r="C45" s="568">
        <v>185925</v>
      </c>
      <c r="D45" s="573">
        <v>270463</v>
      </c>
      <c r="E45" s="573">
        <v>147860</v>
      </c>
      <c r="F45" s="573">
        <f t="shared" si="0"/>
        <v>308528</v>
      </c>
    </row>
    <row r="46" spans="2:6" s="565" customFormat="1" x14ac:dyDescent="0.25">
      <c r="B46" s="566" t="s">
        <v>812</v>
      </c>
      <c r="C46" s="568">
        <v>222874</v>
      </c>
      <c r="D46" s="573">
        <v>0</v>
      </c>
      <c r="E46" s="573">
        <v>178299</v>
      </c>
      <c r="F46" s="573">
        <f t="shared" si="0"/>
        <v>44575</v>
      </c>
    </row>
    <row r="47" spans="2:6" s="565" customFormat="1" x14ac:dyDescent="0.25">
      <c r="B47" s="566" t="s">
        <v>528</v>
      </c>
      <c r="C47" s="568">
        <v>0</v>
      </c>
      <c r="D47" s="573">
        <v>85561</v>
      </c>
      <c r="E47" s="573"/>
      <c r="F47" s="573">
        <f t="shared" si="0"/>
        <v>85561</v>
      </c>
    </row>
    <row r="48" spans="2:6" x14ac:dyDescent="0.25">
      <c r="B48" s="544" t="s">
        <v>227</v>
      </c>
      <c r="C48" s="45">
        <f>SUM(C35:C47)</f>
        <v>4670986</v>
      </c>
      <c r="D48" s="45">
        <f>SUM(D35:D47)</f>
        <v>7591995.5299999993</v>
      </c>
      <c r="E48" s="45">
        <f>SUM(E35:E47)</f>
        <v>6486418</v>
      </c>
      <c r="F48" s="45">
        <f>SUM(F35:F47)</f>
        <v>5776563.5299999993</v>
      </c>
    </row>
    <row r="49" spans="2:7" x14ac:dyDescent="0.25">
      <c r="B49" s="545" t="s">
        <v>228</v>
      </c>
      <c r="C49" s="358">
        <v>0.19</v>
      </c>
      <c r="D49" s="358">
        <v>0.19</v>
      </c>
      <c r="E49" s="358">
        <v>0.19</v>
      </c>
      <c r="F49" s="358">
        <v>0.19</v>
      </c>
    </row>
    <row r="50" spans="2:7" x14ac:dyDescent="0.25">
      <c r="B50" s="544" t="s">
        <v>229</v>
      </c>
      <c r="C50" s="45">
        <f>C48*C49</f>
        <v>887487.34</v>
      </c>
      <c r="D50" s="45">
        <f t="shared" ref="D50:F50" si="1">D48*D49</f>
        <v>1442479.1506999999</v>
      </c>
      <c r="E50" s="45">
        <f t="shared" si="1"/>
        <v>1232419.42</v>
      </c>
      <c r="F50" s="45">
        <f t="shared" si="1"/>
        <v>1097547.0706999998</v>
      </c>
      <c r="G50" s="335"/>
    </row>
    <row r="51" spans="2:7" x14ac:dyDescent="0.25">
      <c r="B51" s="545" t="s">
        <v>752</v>
      </c>
      <c r="C51" s="573">
        <v>64437</v>
      </c>
      <c r="D51" s="207">
        <v>50937</v>
      </c>
      <c r="E51" s="573">
        <v>14296</v>
      </c>
      <c r="F51" s="207">
        <f>C51+D51-E51</f>
        <v>101078</v>
      </c>
    </row>
    <row r="52" spans="2:7" s="565" customFormat="1" x14ac:dyDescent="0.25">
      <c r="B52" s="634" t="s">
        <v>814</v>
      </c>
      <c r="C52" s="573">
        <v>18174</v>
      </c>
      <c r="D52" s="207">
        <v>2445</v>
      </c>
      <c r="E52" s="573">
        <v>20619</v>
      </c>
      <c r="F52" s="207">
        <f>C52+D52-E52</f>
        <v>0</v>
      </c>
    </row>
    <row r="53" spans="2:7" x14ac:dyDescent="0.25">
      <c r="B53" s="544" t="s">
        <v>229</v>
      </c>
      <c r="C53" s="45">
        <f>C50-C51-C52</f>
        <v>804876.34</v>
      </c>
      <c r="D53" s="571">
        <f>D50-D51-D52</f>
        <v>1389097.1506999999</v>
      </c>
      <c r="E53" s="571">
        <f t="shared" ref="E53" si="2">E50-E51-E52</f>
        <v>1197504.42</v>
      </c>
      <c r="F53" s="45">
        <f>F50-F51-F52</f>
        <v>996469.07069999981</v>
      </c>
    </row>
    <row r="54" spans="2:7" hidden="1" x14ac:dyDescent="0.25">
      <c r="B54" s="46"/>
      <c r="C54" s="77"/>
      <c r="D54" s="77"/>
      <c r="E54" s="77"/>
      <c r="F54" s="77"/>
    </row>
    <row r="55" spans="2:7" hidden="1" x14ac:dyDescent="0.25">
      <c r="B55" s="46"/>
      <c r="C55" s="77"/>
      <c r="D55" s="77"/>
      <c r="E55" s="77"/>
      <c r="F55" s="77"/>
    </row>
    <row r="56" spans="2:7" hidden="1" x14ac:dyDescent="0.25">
      <c r="B56" s="50"/>
      <c r="C56" s="45"/>
      <c r="D56" s="45"/>
      <c r="E56" s="45"/>
      <c r="F56" s="45"/>
    </row>
    <row r="57" spans="2:7" hidden="1" x14ac:dyDescent="0.25">
      <c r="B57" s="46"/>
      <c r="C57" s="358"/>
      <c r="D57" s="358"/>
      <c r="E57" s="358"/>
      <c r="F57" s="358"/>
    </row>
    <row r="58" spans="2:7" hidden="1" x14ac:dyDescent="0.25">
      <c r="B58" s="50"/>
      <c r="C58" s="45"/>
      <c r="D58" s="45"/>
      <c r="E58" s="45"/>
      <c r="F58" s="45"/>
    </row>
    <row r="59" spans="2:7" x14ac:dyDescent="0.25">
      <c r="B59" s="73"/>
      <c r="C59" s="319">
        <f>Aktywa!E13-'NOTA 6 - Podatek '!C53</f>
        <v>-0.33999999996740371</v>
      </c>
      <c r="D59" s="359"/>
      <c r="E59" s="359"/>
      <c r="F59" s="319">
        <f>Aktywa!D13-F53</f>
        <v>-7.0699999807402492E-2</v>
      </c>
    </row>
    <row r="60" spans="2:7" x14ac:dyDescent="0.25">
      <c r="B60" s="73"/>
      <c r="C60" s="339"/>
      <c r="D60" s="339"/>
      <c r="E60" s="411"/>
      <c r="F60" s="11"/>
    </row>
    <row r="61" spans="2:7" ht="20.399999999999999" x14ac:dyDescent="0.25">
      <c r="B61" s="71" t="s">
        <v>422</v>
      </c>
      <c r="C61" s="435">
        <v>43830</v>
      </c>
      <c r="D61" s="435" t="s">
        <v>225</v>
      </c>
      <c r="E61" s="435" t="s">
        <v>226</v>
      </c>
      <c r="F61" s="435">
        <v>44196</v>
      </c>
    </row>
    <row r="62" spans="2:7" x14ac:dyDescent="0.25">
      <c r="B62" s="75" t="s">
        <v>44</v>
      </c>
      <c r="C62" s="77">
        <v>4567332</v>
      </c>
      <c r="D62" s="569">
        <v>112117</v>
      </c>
      <c r="E62" s="569">
        <v>2654956</v>
      </c>
      <c r="F62" s="569">
        <f>C62+D62-E62</f>
        <v>2024493</v>
      </c>
    </row>
    <row r="63" spans="2:7" x14ac:dyDescent="0.25">
      <c r="B63" s="75" t="s">
        <v>28</v>
      </c>
      <c r="C63" s="77">
        <v>89624</v>
      </c>
      <c r="D63" s="569">
        <v>35033</v>
      </c>
      <c r="E63" s="569">
        <v>89576</v>
      </c>
      <c r="F63" s="569">
        <f t="shared" ref="F63:F69" si="3">C63+D63-E63</f>
        <v>35081</v>
      </c>
    </row>
    <row r="64" spans="2:7" x14ac:dyDescent="0.25">
      <c r="B64" s="75" t="s">
        <v>639</v>
      </c>
      <c r="C64" s="77">
        <v>42357</v>
      </c>
      <c r="D64" s="569">
        <v>132837</v>
      </c>
      <c r="E64" s="569">
        <v>104309</v>
      </c>
      <c r="F64" s="569">
        <f t="shared" si="3"/>
        <v>70885</v>
      </c>
    </row>
    <row r="65" spans="2:8" x14ac:dyDescent="0.25">
      <c r="B65" s="75" t="s">
        <v>601</v>
      </c>
      <c r="C65" s="77">
        <v>1546474</v>
      </c>
      <c r="D65" s="569">
        <v>1146095</v>
      </c>
      <c r="E65" s="569">
        <v>449915</v>
      </c>
      <c r="F65" s="569">
        <f t="shared" si="3"/>
        <v>2242654</v>
      </c>
    </row>
    <row r="66" spans="2:8" x14ac:dyDescent="0.25">
      <c r="B66" s="75" t="s">
        <v>945</v>
      </c>
      <c r="C66" s="77">
        <v>288328</v>
      </c>
      <c r="D66" s="569">
        <v>76016</v>
      </c>
      <c r="E66" s="569">
        <v>213656</v>
      </c>
      <c r="F66" s="569">
        <f t="shared" si="3"/>
        <v>150688</v>
      </c>
    </row>
    <row r="67" spans="2:8" s="424" customFormat="1" ht="21" hidden="1" x14ac:dyDescent="0.25">
      <c r="B67" s="75" t="s">
        <v>45</v>
      </c>
      <c r="C67" s="551">
        <v>0</v>
      </c>
      <c r="D67" s="569"/>
      <c r="E67" s="569"/>
      <c r="F67" s="569">
        <f t="shared" si="3"/>
        <v>0</v>
      </c>
    </row>
    <row r="68" spans="2:8" s="424" customFormat="1" hidden="1" x14ac:dyDescent="0.25">
      <c r="B68" s="567" t="s">
        <v>813</v>
      </c>
      <c r="C68" s="569">
        <v>0</v>
      </c>
      <c r="D68" s="569"/>
      <c r="E68" s="569"/>
      <c r="F68" s="569">
        <v>0</v>
      </c>
    </row>
    <row r="69" spans="2:8" x14ac:dyDescent="0.25">
      <c r="B69" s="75" t="s">
        <v>528</v>
      </c>
      <c r="C69" s="551">
        <v>406694</v>
      </c>
      <c r="D69" s="569">
        <v>590504</v>
      </c>
      <c r="E69" s="569">
        <v>626360</v>
      </c>
      <c r="F69" s="569">
        <f t="shared" si="3"/>
        <v>370838</v>
      </c>
    </row>
    <row r="70" spans="2:8" x14ac:dyDescent="0.25">
      <c r="B70" s="544" t="s">
        <v>230</v>
      </c>
      <c r="C70" s="552">
        <f>SUM(C62:C69)</f>
        <v>6940809</v>
      </c>
      <c r="D70" s="552">
        <f t="shared" ref="D70:E70" si="4">SUM(D62:D69)</f>
        <v>2092602</v>
      </c>
      <c r="E70" s="552">
        <f t="shared" si="4"/>
        <v>4138772</v>
      </c>
      <c r="F70" s="552">
        <f>C70+D70-E70</f>
        <v>4894639</v>
      </c>
    </row>
    <row r="71" spans="2:8" x14ac:dyDescent="0.25">
      <c r="B71" s="545" t="s">
        <v>228</v>
      </c>
      <c r="C71" s="553">
        <v>0.19</v>
      </c>
      <c r="D71" s="553">
        <v>0.19</v>
      </c>
      <c r="E71" s="553">
        <v>0.19</v>
      </c>
      <c r="F71" s="553">
        <v>0.19</v>
      </c>
      <c r="H71" s="335"/>
    </row>
    <row r="72" spans="2:8" x14ac:dyDescent="0.25">
      <c r="B72" s="544" t="s">
        <v>231</v>
      </c>
      <c r="C72" s="554">
        <f>ROUND(C70*C71,0)</f>
        <v>1318754</v>
      </c>
      <c r="D72" s="554">
        <f>ROUND(D70*D71,0)</f>
        <v>397594</v>
      </c>
      <c r="E72" s="554">
        <f t="shared" ref="E72:F72" si="5">ROUND(E70*E71,0)</f>
        <v>786367</v>
      </c>
      <c r="F72" s="554">
        <f t="shared" si="5"/>
        <v>929981</v>
      </c>
    </row>
    <row r="73" spans="2:8" x14ac:dyDescent="0.25">
      <c r="B73" s="72"/>
      <c r="C73" s="319">
        <f>Pasywa!E16-C72</f>
        <v>0</v>
      </c>
      <c r="D73" s="359"/>
      <c r="E73" s="359"/>
      <c r="F73" s="319">
        <f>Pasywa!D16-F72</f>
        <v>0</v>
      </c>
    </row>
    <row r="74" spans="2:8" x14ac:dyDescent="0.25">
      <c r="B74" s="73" t="s">
        <v>454</v>
      </c>
      <c r="C74" s="340"/>
      <c r="D74" s="340"/>
      <c r="E74" s="1"/>
      <c r="F74" s="1"/>
    </row>
    <row r="75" spans="2:8" x14ac:dyDescent="0.25">
      <c r="B75" s="73"/>
      <c r="C75" s="340"/>
      <c r="D75" s="340"/>
      <c r="E75" s="1"/>
      <c r="F75" s="1"/>
    </row>
    <row r="76" spans="2:8" x14ac:dyDescent="0.25">
      <c r="B76" s="101" t="s">
        <v>316</v>
      </c>
      <c r="C76" s="435">
        <f>Pasywa!D2</f>
        <v>44196</v>
      </c>
      <c r="D76" s="435">
        <v>43830</v>
      </c>
      <c r="E76" s="1"/>
      <c r="F76" s="1"/>
    </row>
    <row r="77" spans="2:8" x14ac:dyDescent="0.25">
      <c r="B77" s="85" t="s">
        <v>451</v>
      </c>
      <c r="C77" s="77">
        <v>996469</v>
      </c>
      <c r="D77" s="77">
        <v>804876</v>
      </c>
      <c r="E77" s="1"/>
      <c r="F77" s="1"/>
    </row>
    <row r="78" spans="2:8" ht="20.399999999999999" x14ac:dyDescent="0.25">
      <c r="B78" s="400" t="s">
        <v>452</v>
      </c>
      <c r="C78" s="77">
        <v>929981</v>
      </c>
      <c r="D78" s="77">
        <v>1318754</v>
      </c>
      <c r="E78" s="245"/>
      <c r="F78" s="1"/>
    </row>
    <row r="79" spans="2:8" x14ac:dyDescent="0.25">
      <c r="B79" s="400" t="s">
        <v>453</v>
      </c>
      <c r="C79" s="77">
        <v>0</v>
      </c>
      <c r="D79" s="77">
        <v>0</v>
      </c>
      <c r="E79" s="1"/>
      <c r="F79" s="1"/>
    </row>
    <row r="80" spans="2:8" x14ac:dyDescent="0.25">
      <c r="B80" s="50" t="s">
        <v>454</v>
      </c>
      <c r="C80" s="45">
        <f>C77-C78-C79</f>
        <v>66488</v>
      </c>
      <c r="D80" s="45">
        <f>D77-D78-D79</f>
        <v>-513878</v>
      </c>
      <c r="E80" s="1"/>
      <c r="F80" s="245"/>
    </row>
    <row r="81" spans="2:6" x14ac:dyDescent="0.25">
      <c r="B81" s="37"/>
      <c r="C81" s="245"/>
      <c r="D81" s="245"/>
      <c r="E81" s="1"/>
      <c r="F81" s="1"/>
    </row>
    <row r="82" spans="2:6" x14ac:dyDescent="0.25">
      <c r="B82" s="37"/>
      <c r="C82" s="245"/>
      <c r="D82" s="245"/>
      <c r="E82" s="1"/>
      <c r="F82" s="1"/>
    </row>
    <row r="83" spans="2:6" x14ac:dyDescent="0.25">
      <c r="B83" s="37"/>
      <c r="C83" s="245"/>
      <c r="D83" s="245"/>
      <c r="E83" s="1"/>
      <c r="F83" s="1"/>
    </row>
    <row r="84" spans="2:6" x14ac:dyDescent="0.25">
      <c r="B84" s="37"/>
      <c r="C84" s="245"/>
      <c r="D84" s="245"/>
      <c r="E84" s="1"/>
      <c r="F84" s="1"/>
    </row>
    <row r="85" spans="2:6" x14ac:dyDescent="0.25">
      <c r="B85" s="37"/>
      <c r="C85" s="245"/>
      <c r="D85" s="245"/>
      <c r="E85" s="1"/>
      <c r="F85" s="1"/>
    </row>
    <row r="86" spans="2:6" x14ac:dyDescent="0.25">
      <c r="B86" s="37"/>
      <c r="C86" s="245"/>
      <c r="D86" s="245"/>
      <c r="E86" s="1"/>
      <c r="F86" s="1"/>
    </row>
    <row r="87" spans="2:6" x14ac:dyDescent="0.25">
      <c r="B87" s="37"/>
      <c r="C87" s="245"/>
      <c r="D87" s="245"/>
      <c r="E87" s="1"/>
      <c r="F87" s="1"/>
    </row>
    <row r="88" spans="2:6" x14ac:dyDescent="0.25">
      <c r="B88" s="37"/>
      <c r="C88" s="245"/>
      <c r="D88" s="245"/>
      <c r="E88" s="1"/>
      <c r="F88" s="1"/>
    </row>
    <row r="89" spans="2:6" x14ac:dyDescent="0.25">
      <c r="B89" s="37"/>
      <c r="C89" s="245"/>
      <c r="D89" s="245"/>
      <c r="E89" s="1"/>
      <c r="F89" s="1"/>
    </row>
    <row r="90" spans="2:6" x14ac:dyDescent="0.25">
      <c r="B90" s="37"/>
      <c r="C90" s="245"/>
      <c r="D90" s="245"/>
      <c r="E90" s="1"/>
      <c r="F90" s="1"/>
    </row>
    <row r="91" spans="2:6" x14ac:dyDescent="0.25">
      <c r="B91" s="37"/>
      <c r="C91" s="245"/>
      <c r="D91" s="245"/>
      <c r="E91" s="1"/>
      <c r="F91" s="1"/>
    </row>
    <row r="92" spans="2:6" x14ac:dyDescent="0.25">
      <c r="B92" s="37"/>
      <c r="C92" s="245"/>
      <c r="D92" s="245"/>
      <c r="E92" s="1"/>
      <c r="F92" s="1"/>
    </row>
  </sheetData>
  <mergeCells count="1">
    <mergeCell ref="B27:D27"/>
  </mergeCells>
  <phoneticPr fontId="31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B1:H28"/>
  <sheetViews>
    <sheetView showGridLines="0" view="pageBreakPreview" zoomScaleNormal="100" zoomScaleSheetLayoutView="100" workbookViewId="0">
      <selection activeCell="J31" sqref="J31"/>
    </sheetView>
  </sheetViews>
  <sheetFormatPr defaultColWidth="9.33203125" defaultRowHeight="13.2" x14ac:dyDescent="0.25"/>
  <cols>
    <col min="1" max="1" width="3.44140625" customWidth="1"/>
    <col min="2" max="2" width="55.6640625" customWidth="1"/>
    <col min="3" max="4" width="18.33203125" bestFit="1" customWidth="1"/>
    <col min="5" max="5" width="21" customWidth="1"/>
    <col min="6" max="7" width="9.5546875" customWidth="1"/>
  </cols>
  <sheetData>
    <row r="1" spans="2:8" x14ac:dyDescent="0.25">
      <c r="B1" s="38"/>
    </row>
    <row r="2" spans="2:8" s="1" customFormat="1" ht="10.199999999999999" x14ac:dyDescent="0.2"/>
    <row r="3" spans="2:8" s="1" customFormat="1" x14ac:dyDescent="0.25">
      <c r="B3" s="399" t="s">
        <v>1056</v>
      </c>
      <c r="C3" s="247"/>
      <c r="D3" s="247"/>
      <c r="E3" s="247"/>
      <c r="F3" s="247"/>
      <c r="G3" s="247"/>
      <c r="H3" s="247"/>
    </row>
    <row r="4" spans="2:8" s="1" customFormat="1" ht="10.199999999999999" x14ac:dyDescent="0.2">
      <c r="B4" s="92"/>
      <c r="C4" s="247"/>
      <c r="D4" s="247"/>
      <c r="E4" s="247"/>
      <c r="F4" s="247"/>
      <c r="G4" s="247"/>
      <c r="H4" s="247"/>
    </row>
    <row r="5" spans="2:8" s="8" customFormat="1" ht="10.199999999999999" x14ac:dyDescent="0.2">
      <c r="B5" s="128" t="s">
        <v>457</v>
      </c>
      <c r="C5" s="118" t="str">
        <f>'Dane podstawowe'!$B$7</f>
        <v>01.01.2020-31.12.2020</v>
      </c>
      <c r="D5" s="118" t="str">
        <f>'Dane podstawowe'!$B$12</f>
        <v>01.01.2019-31.12.2019</v>
      </c>
      <c r="E5" s="94"/>
      <c r="F5" s="94"/>
      <c r="G5" s="33"/>
    </row>
    <row r="6" spans="2:8" s="1" customFormat="1" ht="10.199999999999999" x14ac:dyDescent="0.2">
      <c r="B6" s="55" t="s">
        <v>455</v>
      </c>
      <c r="C6" s="248">
        <f>RZiS!D29</f>
        <v>-1378081</v>
      </c>
      <c r="D6" s="248">
        <f>RZiS!E29</f>
        <v>-1352454</v>
      </c>
      <c r="E6" s="94"/>
      <c r="F6" s="94"/>
    </row>
    <row r="7" spans="2:8" s="1" customFormat="1" ht="10.199999999999999" x14ac:dyDescent="0.2">
      <c r="B7" s="55" t="s">
        <v>456</v>
      </c>
      <c r="C7" s="248">
        <f>RZiS!D30</f>
        <v>0</v>
      </c>
      <c r="D7" s="248">
        <f>RZiS!E30</f>
        <v>0</v>
      </c>
      <c r="E7" s="94"/>
      <c r="F7" s="94"/>
    </row>
    <row r="8" spans="2:8" s="1" customFormat="1" ht="20.399999999999999" x14ac:dyDescent="0.2">
      <c r="B8" s="99" t="s">
        <v>487</v>
      </c>
      <c r="C8" s="96">
        <f>C6-C7</f>
        <v>-1378081</v>
      </c>
      <c r="D8" s="96">
        <f>D6-D7</f>
        <v>-1352454</v>
      </c>
      <c r="E8" s="94"/>
      <c r="F8" s="94"/>
    </row>
    <row r="9" spans="2:8" s="1" customFormat="1" ht="10.199999999999999" x14ac:dyDescent="0.2">
      <c r="B9" s="2" t="s">
        <v>458</v>
      </c>
      <c r="C9" s="248">
        <f>SUM(C10:C12)</f>
        <v>0</v>
      </c>
      <c r="D9" s="248">
        <f>SUM(D10:D12)</f>
        <v>0</v>
      </c>
      <c r="E9" s="94"/>
      <c r="F9" s="94"/>
    </row>
    <row r="10" spans="2:8" s="1" customFormat="1" ht="10.199999999999999" x14ac:dyDescent="0.2">
      <c r="B10" s="95" t="s">
        <v>459</v>
      </c>
      <c r="C10" s="248">
        <v>0</v>
      </c>
      <c r="D10" s="248">
        <v>0</v>
      </c>
      <c r="E10" s="94"/>
      <c r="F10" s="94"/>
    </row>
    <row r="11" spans="2:8" s="1" customFormat="1" ht="10.199999999999999" x14ac:dyDescent="0.2">
      <c r="B11" s="95" t="s">
        <v>460</v>
      </c>
      <c r="C11" s="248">
        <v>0</v>
      </c>
      <c r="D11" s="248">
        <v>0</v>
      </c>
      <c r="E11" s="94"/>
      <c r="F11" s="94"/>
    </row>
    <row r="12" spans="2:8" s="1" customFormat="1" ht="10.199999999999999" hidden="1" x14ac:dyDescent="0.2">
      <c r="B12" s="49" t="s">
        <v>461</v>
      </c>
      <c r="C12" s="248"/>
      <c r="D12" s="248"/>
      <c r="E12" s="94"/>
      <c r="F12" s="94"/>
    </row>
    <row r="13" spans="2:8" s="4" customFormat="1" ht="23.25" customHeight="1" x14ac:dyDescent="0.2">
      <c r="B13" s="99" t="s">
        <v>462</v>
      </c>
      <c r="C13" s="160">
        <f>C8+C9</f>
        <v>-1378081</v>
      </c>
      <c r="D13" s="160">
        <f>D8+D9</f>
        <v>-1352454</v>
      </c>
      <c r="E13" s="94"/>
      <c r="F13" s="94"/>
    </row>
    <row r="14" spans="2:8" s="1" customFormat="1" ht="10.199999999999999" x14ac:dyDescent="0.2">
      <c r="B14" s="9"/>
      <c r="C14" s="98"/>
      <c r="D14" s="98"/>
      <c r="E14" s="94"/>
      <c r="F14" s="94"/>
    </row>
    <row r="15" spans="2:8" s="1" customFormat="1" ht="10.199999999999999" x14ac:dyDescent="0.2">
      <c r="B15" s="86"/>
      <c r="E15" s="94"/>
      <c r="F15" s="94"/>
    </row>
    <row r="16" spans="2:8" s="1" customFormat="1" ht="10.199999999999999" x14ac:dyDescent="0.2">
      <c r="B16" s="115" t="s">
        <v>469</v>
      </c>
      <c r="C16" s="118" t="str">
        <f>'Dane podstawowe'!$B$7</f>
        <v>01.01.2020-31.12.2020</v>
      </c>
      <c r="D16" s="118" t="str">
        <f>'Dane podstawowe'!$B$12</f>
        <v>01.01.2019-31.12.2019</v>
      </c>
      <c r="E16" s="94"/>
      <c r="F16" s="94"/>
    </row>
    <row r="17" spans="2:6" s="1" customFormat="1" ht="20.399999999999999" x14ac:dyDescent="0.2">
      <c r="B17" s="50" t="s">
        <v>463</v>
      </c>
      <c r="C17" s="45">
        <v>2485775</v>
      </c>
      <c r="D17" s="45">
        <v>2485775</v>
      </c>
      <c r="E17" s="94"/>
      <c r="F17" s="94"/>
    </row>
    <row r="18" spans="2:6" s="1" customFormat="1" ht="10.199999999999999" x14ac:dyDescent="0.2">
      <c r="B18" s="46" t="s">
        <v>464</v>
      </c>
      <c r="C18" s="248">
        <f>SUM(C19:C21)</f>
        <v>0</v>
      </c>
      <c r="D18" s="248">
        <f>SUM(D19:D21)</f>
        <v>0</v>
      </c>
      <c r="E18" s="94"/>
      <c r="F18" s="94"/>
    </row>
    <row r="19" spans="2:6" s="1" customFormat="1" ht="10.199999999999999" x14ac:dyDescent="0.2">
      <c r="B19" s="46" t="s">
        <v>465</v>
      </c>
      <c r="C19" s="77">
        <v>0</v>
      </c>
      <c r="D19" s="77">
        <v>0</v>
      </c>
      <c r="E19" s="94"/>
      <c r="F19" s="94"/>
    </row>
    <row r="20" spans="2:6" s="1" customFormat="1" ht="10.199999999999999" x14ac:dyDescent="0.2">
      <c r="B20" s="46" t="s">
        <v>466</v>
      </c>
      <c r="C20" s="77">
        <v>0</v>
      </c>
      <c r="D20" s="77">
        <v>0</v>
      </c>
      <c r="E20" s="94"/>
      <c r="F20" s="94"/>
    </row>
    <row r="21" spans="2:6" s="1" customFormat="1" ht="10.199999999999999" x14ac:dyDescent="0.2">
      <c r="B21" s="46" t="s">
        <v>467</v>
      </c>
      <c r="C21" s="77">
        <v>0</v>
      </c>
      <c r="D21" s="77">
        <v>0</v>
      </c>
      <c r="E21" s="94"/>
      <c r="F21" s="94"/>
    </row>
    <row r="22" spans="2:6" s="1" customFormat="1" ht="20.399999999999999" x14ac:dyDescent="0.2">
      <c r="B22" s="50" t="s">
        <v>468</v>
      </c>
      <c r="C22" s="160">
        <f>C17+C18</f>
        <v>2485775</v>
      </c>
      <c r="D22" s="160">
        <f>D17+D18</f>
        <v>2485775</v>
      </c>
      <c r="E22" s="94"/>
      <c r="F22" s="94"/>
    </row>
    <row r="23" spans="2:6" s="1" customFormat="1" ht="10.199999999999999" x14ac:dyDescent="0.2">
      <c r="B23" s="73"/>
      <c r="C23" s="239"/>
      <c r="D23" s="239"/>
    </row>
    <row r="24" spans="2:6" s="1" customFormat="1" ht="11.25" customHeight="1" x14ac:dyDescent="0.2">
      <c r="C24" s="793"/>
      <c r="D24" s="793"/>
      <c r="E24" s="793"/>
    </row>
    <row r="25" spans="2:6" s="1" customFormat="1" ht="10.199999999999999" x14ac:dyDescent="0.2">
      <c r="B25" s="86"/>
    </row>
    <row r="28" spans="2:6" x14ac:dyDescent="0.25">
      <c r="C28" s="164"/>
    </row>
  </sheetData>
  <mergeCells count="1">
    <mergeCell ref="C24:E24"/>
  </mergeCells>
  <phoneticPr fontId="31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B1:J168"/>
  <sheetViews>
    <sheetView showGridLines="0" view="pageBreakPreview" topLeftCell="A55" zoomScaleNormal="100" zoomScaleSheetLayoutView="100" zoomScalePageLayoutView="90" workbookViewId="0">
      <selection activeCell="B14" sqref="B14"/>
    </sheetView>
  </sheetViews>
  <sheetFormatPr defaultColWidth="9.33203125" defaultRowHeight="10.199999999999999" outlineLevelRow="1" x14ac:dyDescent="0.2"/>
  <cols>
    <col min="1" max="1" width="2.6640625" style="217" customWidth="1"/>
    <col min="2" max="2" width="42.33203125" style="217" customWidth="1"/>
    <col min="3" max="4" width="15.6640625" style="217" customWidth="1"/>
    <col min="5" max="8" width="14.44140625" style="217" customWidth="1"/>
    <col min="9" max="9" width="15.6640625" style="217" customWidth="1"/>
    <col min="10" max="10" width="13.6640625" style="217" customWidth="1"/>
    <col min="11" max="11" width="14.33203125" style="217" customWidth="1"/>
    <col min="12" max="12" width="13.33203125" style="217" customWidth="1"/>
    <col min="13" max="16384" width="9.33203125" style="217"/>
  </cols>
  <sheetData>
    <row r="1" spans="2:9" ht="18.75" customHeight="1" x14ac:dyDescent="0.2">
      <c r="B1" s="249"/>
    </row>
    <row r="2" spans="2:9" ht="13.2" x14ac:dyDescent="0.25">
      <c r="B2" s="399" t="s">
        <v>1057</v>
      </c>
    </row>
    <row r="3" spans="2:9" x14ac:dyDescent="0.2">
      <c r="B3" s="250"/>
    </row>
    <row r="4" spans="2:9" ht="13.95" customHeight="1" x14ac:dyDescent="0.2">
      <c r="B4" s="52" t="s">
        <v>5</v>
      </c>
    </row>
    <row r="5" spans="2:9" ht="13.95" customHeight="1" x14ac:dyDescent="0.2">
      <c r="B5" s="251"/>
    </row>
    <row r="6" spans="2:9" s="219" customFormat="1" x14ac:dyDescent="0.2">
      <c r="B6" s="221" t="s">
        <v>316</v>
      </c>
      <c r="C6" s="436">
        <f>'Dane podstawowe'!$B$9</f>
        <v>44196</v>
      </c>
      <c r="D6" s="436">
        <f>'Dane podstawowe'!$B$14</f>
        <v>43830</v>
      </c>
      <c r="E6" s="217"/>
      <c r="F6" s="217"/>
    </row>
    <row r="7" spans="2:9" x14ac:dyDescent="0.2">
      <c r="B7" s="252" t="s">
        <v>470</v>
      </c>
      <c r="C7" s="253">
        <v>822958</v>
      </c>
      <c r="D7" s="253">
        <v>1124846</v>
      </c>
    </row>
    <row r="8" spans="2:9" ht="20.399999999999999" x14ac:dyDescent="0.2">
      <c r="B8" s="254" t="s">
        <v>471</v>
      </c>
      <c r="C8" s="253">
        <v>0</v>
      </c>
      <c r="D8" s="253">
        <v>0</v>
      </c>
    </row>
    <row r="9" spans="2:9" x14ac:dyDescent="0.2">
      <c r="B9" s="255" t="s">
        <v>27</v>
      </c>
      <c r="C9" s="218">
        <f>SUM(C7:C8)</f>
        <v>822958</v>
      </c>
      <c r="D9" s="218">
        <f>SUM(D7:D8)</f>
        <v>1124846</v>
      </c>
    </row>
    <row r="10" spans="2:9" x14ac:dyDescent="0.2">
      <c r="C10" s="310">
        <f>Aktywa!D4-'NOTA 9 -Rzeczowe aktywa trwałe'!C9</f>
        <v>0</v>
      </c>
      <c r="D10" s="310">
        <f>Aktywa!E4-'NOTA 9 -Rzeczowe aktywa trwałe'!D9</f>
        <v>0</v>
      </c>
    </row>
    <row r="11" spans="2:9" s="219" customFormat="1" x14ac:dyDescent="0.2">
      <c r="B11" s="256"/>
      <c r="C11" s="257"/>
      <c r="D11" s="257"/>
      <c r="E11" s="217"/>
      <c r="F11" s="217"/>
      <c r="G11" s="217"/>
      <c r="H11" s="217"/>
    </row>
    <row r="12" spans="2:9" x14ac:dyDescent="0.2">
      <c r="B12" s="437" t="s">
        <v>880</v>
      </c>
      <c r="C12" s="258"/>
      <c r="D12" s="258"/>
    </row>
    <row r="13" spans="2:9" x14ac:dyDescent="0.2">
      <c r="B13" s="251"/>
      <c r="C13" s="258"/>
      <c r="D13" s="258"/>
    </row>
    <row r="14" spans="2:9" ht="30.6" outlineLevel="1" x14ac:dyDescent="0.2">
      <c r="B14" s="222" t="s">
        <v>316</v>
      </c>
      <c r="C14" s="259" t="s">
        <v>318</v>
      </c>
      <c r="D14" s="260" t="s">
        <v>319</v>
      </c>
      <c r="E14" s="259" t="s">
        <v>320</v>
      </c>
      <c r="F14" s="260" t="s">
        <v>524</v>
      </c>
      <c r="G14" s="259" t="s">
        <v>525</v>
      </c>
      <c r="H14" s="501" t="s">
        <v>687</v>
      </c>
      <c r="I14" s="261" t="s">
        <v>27</v>
      </c>
    </row>
    <row r="15" spans="2:9" s="219" customFormat="1" outlineLevel="1" x14ac:dyDescent="0.25">
      <c r="B15" s="438" t="s">
        <v>881</v>
      </c>
      <c r="C15" s="262">
        <f t="shared" ref="C15:H15" si="0">C71</f>
        <v>0</v>
      </c>
      <c r="D15" s="262">
        <f t="shared" si="0"/>
        <v>601555</v>
      </c>
      <c r="E15" s="262">
        <f t="shared" si="0"/>
        <v>2779366</v>
      </c>
      <c r="F15" s="262">
        <f t="shared" si="0"/>
        <v>150990</v>
      </c>
      <c r="G15" s="262">
        <f t="shared" si="0"/>
        <v>192715</v>
      </c>
      <c r="H15" s="262">
        <f t="shared" si="0"/>
        <v>96515</v>
      </c>
      <c r="I15" s="262">
        <f>SUM(C15:H15)</f>
        <v>3821141</v>
      </c>
    </row>
    <row r="16" spans="2:9" s="219" customFormat="1" hidden="1" outlineLevel="1" x14ac:dyDescent="0.25">
      <c r="B16" s="504" t="s">
        <v>793</v>
      </c>
      <c r="C16" s="262">
        <v>0</v>
      </c>
      <c r="D16" s="262">
        <v>0</v>
      </c>
      <c r="E16" s="262">
        <v>0</v>
      </c>
      <c r="F16" s="262"/>
      <c r="G16" s="262">
        <v>0</v>
      </c>
      <c r="H16" s="262">
        <v>0</v>
      </c>
      <c r="I16" s="262">
        <f>SUM(C16:H16)</f>
        <v>0</v>
      </c>
    </row>
    <row r="17" spans="2:9" s="219" customFormat="1" hidden="1" outlineLevel="1" x14ac:dyDescent="0.25">
      <c r="B17" s="438" t="s">
        <v>882</v>
      </c>
      <c r="C17" s="262">
        <f>C16+C15</f>
        <v>0</v>
      </c>
      <c r="D17" s="262">
        <f>D16+D15</f>
        <v>601555</v>
      </c>
      <c r="E17" s="262">
        <f t="shared" ref="E17:H17" si="1">E16+E15</f>
        <v>2779366</v>
      </c>
      <c r="F17" s="262">
        <f t="shared" si="1"/>
        <v>150990</v>
      </c>
      <c r="G17" s="262">
        <f t="shared" si="1"/>
        <v>192715</v>
      </c>
      <c r="H17" s="262">
        <f t="shared" si="1"/>
        <v>96515</v>
      </c>
      <c r="I17" s="262">
        <f t="shared" ref="I17" si="2">SUM(C17:H17)</f>
        <v>3821141</v>
      </c>
    </row>
    <row r="18" spans="2:9" s="265" customFormat="1" outlineLevel="1" x14ac:dyDescent="0.2">
      <c r="B18" s="263" t="s">
        <v>101</v>
      </c>
      <c r="C18" s="264">
        <f t="shared" ref="C18:H18" si="3">SUM(C19:C25)</f>
        <v>0</v>
      </c>
      <c r="D18" s="264">
        <f t="shared" si="3"/>
        <v>0</v>
      </c>
      <c r="E18" s="264">
        <f t="shared" si="3"/>
        <v>221616</v>
      </c>
      <c r="F18" s="264">
        <f t="shared" si="3"/>
        <v>0</v>
      </c>
      <c r="G18" s="264">
        <f t="shared" si="3"/>
        <v>0</v>
      </c>
      <c r="H18" s="264">
        <f t="shared" si="3"/>
        <v>0</v>
      </c>
      <c r="I18" s="264">
        <f>SUM(C18:H18)</f>
        <v>221616</v>
      </c>
    </row>
    <row r="19" spans="2:9" outlineLevel="1" x14ac:dyDescent="0.2">
      <c r="B19" s="266" t="s">
        <v>156</v>
      </c>
      <c r="C19" s="220">
        <v>0</v>
      </c>
      <c r="D19" s="220">
        <v>0</v>
      </c>
      <c r="E19" s="220">
        <v>125101</v>
      </c>
      <c r="F19" s="220">
        <v>0</v>
      </c>
      <c r="G19" s="220">
        <v>0</v>
      </c>
      <c r="H19" s="220"/>
      <c r="I19" s="220">
        <f>SUM(C19:H19)</f>
        <v>125101</v>
      </c>
    </row>
    <row r="20" spans="2:9" hidden="1" outlineLevel="1" x14ac:dyDescent="0.2">
      <c r="B20" s="266" t="s">
        <v>157</v>
      </c>
      <c r="C20" s="220">
        <v>0</v>
      </c>
      <c r="D20" s="220">
        <v>0</v>
      </c>
      <c r="E20" s="220">
        <v>0</v>
      </c>
      <c r="F20" s="220">
        <v>0</v>
      </c>
      <c r="G20" s="220">
        <v>0</v>
      </c>
      <c r="H20" s="220">
        <v>0</v>
      </c>
      <c r="I20" s="220">
        <f>SUM(C20:H20)</f>
        <v>0</v>
      </c>
    </row>
    <row r="21" spans="2:9" hidden="1" outlineLevel="1" x14ac:dyDescent="0.2">
      <c r="B21" s="266" t="s">
        <v>154</v>
      </c>
      <c r="C21" s="220"/>
      <c r="D21" s="220"/>
      <c r="E21" s="220"/>
      <c r="F21" s="220"/>
      <c r="G21" s="220"/>
      <c r="H21" s="220"/>
      <c r="I21" s="220">
        <f t="shared" ref="I21:I25" si="4">SUM(C21:H21)</f>
        <v>0</v>
      </c>
    </row>
    <row r="22" spans="2:9" hidden="1" outlineLevel="1" x14ac:dyDescent="0.2">
      <c r="B22" s="266" t="s">
        <v>158</v>
      </c>
      <c r="C22" s="220">
        <v>0</v>
      </c>
      <c r="D22" s="220">
        <v>0</v>
      </c>
      <c r="E22" s="220">
        <v>0</v>
      </c>
      <c r="F22" s="220">
        <v>0</v>
      </c>
      <c r="G22" s="220">
        <v>0</v>
      </c>
      <c r="H22" s="220">
        <v>0</v>
      </c>
      <c r="I22" s="220">
        <f t="shared" si="4"/>
        <v>0</v>
      </c>
    </row>
    <row r="23" spans="2:9" hidden="1" outlineLevel="1" x14ac:dyDescent="0.2">
      <c r="B23" s="266" t="s">
        <v>159</v>
      </c>
      <c r="C23" s="220"/>
      <c r="D23" s="220"/>
      <c r="E23" s="220"/>
      <c r="F23" s="220"/>
      <c r="G23" s="220"/>
      <c r="H23" s="220"/>
      <c r="I23" s="220">
        <f t="shared" si="4"/>
        <v>0</v>
      </c>
    </row>
    <row r="24" spans="2:9" hidden="1" outlineLevel="1" x14ac:dyDescent="0.2">
      <c r="B24" s="347" t="s">
        <v>519</v>
      </c>
      <c r="C24" s="220"/>
      <c r="D24" s="220"/>
      <c r="E24" s="220"/>
      <c r="F24" s="220"/>
      <c r="G24" s="220"/>
      <c r="H24" s="220"/>
      <c r="I24" s="220">
        <f t="shared" si="4"/>
        <v>0</v>
      </c>
    </row>
    <row r="25" spans="2:9" outlineLevel="1" x14ac:dyDescent="0.2">
      <c r="B25" s="266" t="s">
        <v>509</v>
      </c>
      <c r="C25" s="220">
        <v>0</v>
      </c>
      <c r="D25" s="220">
        <v>0</v>
      </c>
      <c r="E25" s="220">
        <v>96515</v>
      </c>
      <c r="F25" s="220">
        <v>0</v>
      </c>
      <c r="G25" s="220">
        <v>0</v>
      </c>
      <c r="H25" s="220">
        <v>0</v>
      </c>
      <c r="I25" s="220">
        <f t="shared" si="4"/>
        <v>96515</v>
      </c>
    </row>
    <row r="26" spans="2:9" s="250" customFormat="1" outlineLevel="1" x14ac:dyDescent="0.2">
      <c r="B26" s="263" t="s">
        <v>100</v>
      </c>
      <c r="C26" s="264">
        <f t="shared" ref="C26:H26" si="5">SUM(C27:C32)</f>
        <v>0</v>
      </c>
      <c r="D26" s="264">
        <f t="shared" si="5"/>
        <v>0</v>
      </c>
      <c r="E26" s="264">
        <f t="shared" si="5"/>
        <v>43795</v>
      </c>
      <c r="F26" s="264">
        <f t="shared" si="5"/>
        <v>0</v>
      </c>
      <c r="G26" s="264">
        <f t="shared" si="5"/>
        <v>1038</v>
      </c>
      <c r="H26" s="264">
        <f t="shared" si="5"/>
        <v>96515</v>
      </c>
      <c r="I26" s="264">
        <f>SUM(C26:H26)</f>
        <v>141348</v>
      </c>
    </row>
    <row r="27" spans="2:9" outlineLevel="1" x14ac:dyDescent="0.2">
      <c r="B27" s="398" t="s">
        <v>695</v>
      </c>
      <c r="C27" s="220">
        <v>0</v>
      </c>
      <c r="D27" s="220">
        <v>0</v>
      </c>
      <c r="E27" s="220">
        <v>1650</v>
      </c>
      <c r="F27" s="220">
        <v>0</v>
      </c>
      <c r="G27" s="220">
        <v>0</v>
      </c>
      <c r="H27" s="220">
        <v>0</v>
      </c>
      <c r="I27" s="220">
        <f>SUM(C27:H27)</f>
        <v>1650</v>
      </c>
    </row>
    <row r="28" spans="2:9" outlineLevel="1" x14ac:dyDescent="0.2">
      <c r="B28" s="266" t="s">
        <v>160</v>
      </c>
      <c r="C28" s="220">
        <v>0</v>
      </c>
      <c r="D28" s="220">
        <v>0</v>
      </c>
      <c r="E28" s="220">
        <v>38632</v>
      </c>
      <c r="F28" s="220">
        <v>0</v>
      </c>
      <c r="G28" s="220">
        <v>1038</v>
      </c>
      <c r="H28" s="220">
        <v>0</v>
      </c>
      <c r="I28" s="220">
        <f>SUM(C28:H28)</f>
        <v>39670</v>
      </c>
    </row>
    <row r="29" spans="2:9" outlineLevel="1" x14ac:dyDescent="0.2">
      <c r="B29" s="266" t="s">
        <v>161</v>
      </c>
      <c r="C29" s="220">
        <v>0</v>
      </c>
      <c r="D29" s="220">
        <v>0</v>
      </c>
      <c r="E29" s="220">
        <v>3513</v>
      </c>
      <c r="F29" s="220">
        <v>0</v>
      </c>
      <c r="G29" s="220">
        <v>0</v>
      </c>
      <c r="H29" s="220">
        <v>0</v>
      </c>
      <c r="I29" s="220">
        <f t="shared" ref="I29:I32" si="6">SUM(C29:H29)</f>
        <v>3513</v>
      </c>
    </row>
    <row r="30" spans="2:9" ht="10.199999999999999" hidden="1" customHeight="1" outlineLevel="1" x14ac:dyDescent="0.2">
      <c r="B30" s="266" t="s">
        <v>159</v>
      </c>
      <c r="C30" s="220">
        <v>0</v>
      </c>
      <c r="D30" s="220">
        <v>0</v>
      </c>
      <c r="E30" s="220">
        <v>0</v>
      </c>
      <c r="F30" s="220">
        <v>0</v>
      </c>
      <c r="G30" s="220">
        <v>0</v>
      </c>
      <c r="H30" s="220">
        <v>0</v>
      </c>
      <c r="I30" s="220">
        <f t="shared" si="6"/>
        <v>0</v>
      </c>
    </row>
    <row r="31" spans="2:9" ht="10.199999999999999" hidden="1" customHeight="1" outlineLevel="1" x14ac:dyDescent="0.2">
      <c r="B31" s="266" t="s">
        <v>162</v>
      </c>
      <c r="C31" s="220">
        <v>0</v>
      </c>
      <c r="D31" s="220">
        <v>0</v>
      </c>
      <c r="E31" s="220">
        <v>0</v>
      </c>
      <c r="F31" s="220">
        <v>0</v>
      </c>
      <c r="G31" s="220">
        <v>0</v>
      </c>
      <c r="H31" s="220">
        <v>0</v>
      </c>
      <c r="I31" s="220">
        <f t="shared" si="6"/>
        <v>0</v>
      </c>
    </row>
    <row r="32" spans="2:9" outlineLevel="1" x14ac:dyDescent="0.2">
      <c r="B32" s="398" t="s">
        <v>694</v>
      </c>
      <c r="C32" s="220">
        <v>0</v>
      </c>
      <c r="D32" s="220">
        <v>0</v>
      </c>
      <c r="E32" s="220">
        <v>0</v>
      </c>
      <c r="F32" s="220">
        <v>0</v>
      </c>
      <c r="G32" s="220">
        <v>0</v>
      </c>
      <c r="H32" s="220">
        <v>96515</v>
      </c>
      <c r="I32" s="220">
        <f t="shared" si="6"/>
        <v>96515</v>
      </c>
    </row>
    <row r="33" spans="2:10" s="219" customFormat="1" ht="10.8" outlineLevel="1" thickBot="1" x14ac:dyDescent="0.3">
      <c r="B33" s="412" t="s">
        <v>883</v>
      </c>
      <c r="C33" s="267">
        <f>C17+C18-C26</f>
        <v>0</v>
      </c>
      <c r="D33" s="267">
        <f t="shared" ref="D33:H33" si="7">D17+D18-D26</f>
        <v>601555</v>
      </c>
      <c r="E33" s="267">
        <f t="shared" si="7"/>
        <v>2957187</v>
      </c>
      <c r="F33" s="267">
        <f t="shared" si="7"/>
        <v>150990</v>
      </c>
      <c r="G33" s="267">
        <f t="shared" si="7"/>
        <v>191677</v>
      </c>
      <c r="H33" s="267">
        <f t="shared" si="7"/>
        <v>0</v>
      </c>
      <c r="I33" s="267">
        <f>SUM(C33:H33)</f>
        <v>3901409</v>
      </c>
    </row>
    <row r="34" spans="2:10" ht="10.8" outlineLevel="1" thickTop="1" x14ac:dyDescent="0.2">
      <c r="B34" s="62" t="s">
        <v>884</v>
      </c>
      <c r="C34" s="218">
        <f t="shared" ref="C34:G34" si="8">C85</f>
        <v>0</v>
      </c>
      <c r="D34" s="218">
        <f t="shared" si="8"/>
        <v>165589</v>
      </c>
      <c r="E34" s="218">
        <f>E85</f>
        <v>2293993</v>
      </c>
      <c r="F34" s="218">
        <f t="shared" si="8"/>
        <v>115617</v>
      </c>
      <c r="G34" s="218">
        <f t="shared" si="8"/>
        <v>121096</v>
      </c>
      <c r="H34" s="218">
        <v>0</v>
      </c>
      <c r="I34" s="218">
        <f>SUM(C34:H34)</f>
        <v>2696295</v>
      </c>
    </row>
    <row r="35" spans="2:10" hidden="1" outlineLevel="1" x14ac:dyDescent="0.2">
      <c r="B35" s="504" t="s">
        <v>793</v>
      </c>
      <c r="C35" s="218">
        <v>0</v>
      </c>
      <c r="D35" s="218">
        <v>0</v>
      </c>
      <c r="E35" s="218">
        <v>0</v>
      </c>
      <c r="F35" s="218"/>
      <c r="G35" s="218">
        <v>0</v>
      </c>
      <c r="H35" s="218">
        <v>0</v>
      </c>
      <c r="I35" s="218">
        <f t="shared" ref="I35:I36" si="9">SUM(C35:H35)</f>
        <v>0</v>
      </c>
    </row>
    <row r="36" spans="2:10" ht="20.399999999999999" hidden="1" outlineLevel="1" x14ac:dyDescent="0.2">
      <c r="B36" s="438" t="s">
        <v>885</v>
      </c>
      <c r="C36" s="218">
        <f>C34+C35</f>
        <v>0</v>
      </c>
      <c r="D36" s="218">
        <f t="shared" ref="D36:H36" si="10">D34+D35</f>
        <v>165589</v>
      </c>
      <c r="E36" s="218">
        <f>E34+E35</f>
        <v>2293993</v>
      </c>
      <c r="F36" s="218">
        <f t="shared" si="10"/>
        <v>115617</v>
      </c>
      <c r="G36" s="218">
        <f t="shared" si="10"/>
        <v>121096</v>
      </c>
      <c r="H36" s="218">
        <f t="shared" si="10"/>
        <v>0</v>
      </c>
      <c r="I36" s="218">
        <f t="shared" si="9"/>
        <v>2696295</v>
      </c>
    </row>
    <row r="37" spans="2:10" s="265" customFormat="1" outlineLevel="1" x14ac:dyDescent="0.2">
      <c r="B37" s="263" t="s">
        <v>101</v>
      </c>
      <c r="C37" s="264">
        <f t="shared" ref="C37:G37" si="11">SUM(C38:C40)</f>
        <v>0</v>
      </c>
      <c r="D37" s="264">
        <f t="shared" si="11"/>
        <v>60215</v>
      </c>
      <c r="E37" s="264">
        <f>SUM(E38:E40)</f>
        <v>307476</v>
      </c>
      <c r="F37" s="264">
        <f t="shared" si="11"/>
        <v>28856</v>
      </c>
      <c r="G37" s="264">
        <f t="shared" si="11"/>
        <v>26809</v>
      </c>
      <c r="H37" s="264">
        <v>0</v>
      </c>
      <c r="I37" s="264">
        <f>SUM(C37:H37)</f>
        <v>423356</v>
      </c>
    </row>
    <row r="38" spans="2:10" outlineLevel="1" x14ac:dyDescent="0.2">
      <c r="B38" s="266" t="s">
        <v>163</v>
      </c>
      <c r="C38" s="220">
        <v>0</v>
      </c>
      <c r="D38" s="220">
        <v>60215</v>
      </c>
      <c r="E38" s="220">
        <v>306930</v>
      </c>
      <c r="F38" s="220">
        <v>11170</v>
      </c>
      <c r="G38" s="220">
        <v>24445</v>
      </c>
      <c r="H38" s="220">
        <v>0</v>
      </c>
      <c r="I38" s="220">
        <f>SUM(C38:H38)</f>
        <v>402760</v>
      </c>
    </row>
    <row r="39" spans="2:10" hidden="1" outlineLevel="1" x14ac:dyDescent="0.2">
      <c r="B39" s="266" t="s">
        <v>159</v>
      </c>
      <c r="C39" s="220"/>
      <c r="D39" s="220"/>
      <c r="E39" s="220"/>
      <c r="F39" s="220"/>
      <c r="G39" s="220"/>
      <c r="H39" s="220"/>
      <c r="I39" s="220">
        <f t="shared" ref="I39:I40" si="12">SUM(C39:H39)</f>
        <v>0</v>
      </c>
    </row>
    <row r="40" spans="2:10" outlineLevel="1" x14ac:dyDescent="0.2">
      <c r="B40" s="266" t="s">
        <v>509</v>
      </c>
      <c r="C40" s="220">
        <v>0</v>
      </c>
      <c r="D40" s="220">
        <v>0</v>
      </c>
      <c r="E40" s="220">
        <v>546</v>
      </c>
      <c r="F40" s="220">
        <v>17686</v>
      </c>
      <c r="G40" s="220">
        <v>2364</v>
      </c>
      <c r="H40" s="220">
        <v>0</v>
      </c>
      <c r="I40" s="220">
        <f t="shared" si="12"/>
        <v>20596</v>
      </c>
    </row>
    <row r="41" spans="2:10" s="265" customFormat="1" outlineLevel="1" x14ac:dyDescent="0.2">
      <c r="B41" s="263" t="s">
        <v>100</v>
      </c>
      <c r="C41" s="264">
        <f t="shared" ref="C41:G41" si="13">SUM(C42:C45)</f>
        <v>0</v>
      </c>
      <c r="D41" s="264">
        <f t="shared" si="13"/>
        <v>0</v>
      </c>
      <c r="E41" s="264">
        <f t="shared" si="13"/>
        <v>40283</v>
      </c>
      <c r="F41" s="264">
        <f t="shared" si="13"/>
        <v>0</v>
      </c>
      <c r="G41" s="264">
        <f t="shared" si="13"/>
        <v>917</v>
      </c>
      <c r="H41" s="264">
        <v>0</v>
      </c>
      <c r="I41" s="264">
        <f>SUM(C41:H41)</f>
        <v>41200</v>
      </c>
    </row>
    <row r="42" spans="2:10" outlineLevel="1" x14ac:dyDescent="0.2">
      <c r="B42" s="398" t="s">
        <v>695</v>
      </c>
      <c r="C42" s="220">
        <v>0</v>
      </c>
      <c r="D42" s="220">
        <v>0</v>
      </c>
      <c r="E42" s="220">
        <v>5918</v>
      </c>
      <c r="F42" s="207">
        <v>0</v>
      </c>
      <c r="G42" s="220">
        <v>917</v>
      </c>
      <c r="H42" s="220">
        <v>0</v>
      </c>
      <c r="I42" s="220">
        <f>SUM(C42:H42)</f>
        <v>6835</v>
      </c>
    </row>
    <row r="43" spans="2:10" outlineLevel="1" x14ac:dyDescent="0.2">
      <c r="B43" s="266" t="s">
        <v>160</v>
      </c>
      <c r="C43" s="220">
        <v>0</v>
      </c>
      <c r="D43" s="220">
        <v>0</v>
      </c>
      <c r="E43" s="220">
        <v>34365</v>
      </c>
      <c r="F43" s="220">
        <v>0</v>
      </c>
      <c r="G43" s="220">
        <v>0</v>
      </c>
      <c r="H43" s="220">
        <v>0</v>
      </c>
      <c r="I43" s="220">
        <f>SUM(C43:H43)</f>
        <v>34365</v>
      </c>
    </row>
    <row r="44" spans="2:10" hidden="1" outlineLevel="1" x14ac:dyDescent="0.2">
      <c r="B44" s="266" t="s">
        <v>159</v>
      </c>
      <c r="C44" s="220"/>
      <c r="D44" s="220"/>
      <c r="E44" s="220"/>
      <c r="F44" s="220"/>
      <c r="G44" s="220"/>
      <c r="H44" s="220"/>
      <c r="I44" s="220">
        <f t="shared" ref="I44" si="14">SUM(C44:G44)</f>
        <v>0</v>
      </c>
    </row>
    <row r="45" spans="2:10" hidden="1" outlineLevel="1" x14ac:dyDescent="0.2">
      <c r="B45" s="398" t="s">
        <v>509</v>
      </c>
      <c r="C45" s="220">
        <v>0</v>
      </c>
      <c r="D45" s="220">
        <v>0</v>
      </c>
      <c r="E45" s="220"/>
      <c r="F45" s="220">
        <v>0</v>
      </c>
      <c r="G45" s="220"/>
      <c r="H45" s="220">
        <v>0</v>
      </c>
      <c r="I45" s="220">
        <f>SUM(C45:H45)</f>
        <v>0</v>
      </c>
    </row>
    <row r="46" spans="2:10" ht="10.8" outlineLevel="1" thickBot="1" x14ac:dyDescent="0.25">
      <c r="B46" s="100" t="s">
        <v>886</v>
      </c>
      <c r="C46" s="268">
        <f t="shared" ref="C46" si="15">C34+C37-C41</f>
        <v>0</v>
      </c>
      <c r="D46" s="268">
        <f>D36+D37-D41</f>
        <v>225804</v>
      </c>
      <c r="E46" s="268">
        <f t="shared" ref="E46:H46" si="16">E36+E37-E41</f>
        <v>2561186</v>
      </c>
      <c r="F46" s="268">
        <f t="shared" si="16"/>
        <v>144473</v>
      </c>
      <c r="G46" s="268">
        <f t="shared" si="16"/>
        <v>146988</v>
      </c>
      <c r="H46" s="268">
        <f t="shared" si="16"/>
        <v>0</v>
      </c>
      <c r="I46" s="268">
        <f>SUM(C46:H46)</f>
        <v>3078451</v>
      </c>
    </row>
    <row r="47" spans="2:10" ht="11.4" hidden="1" outlineLevel="1" thickTop="1" thickBot="1" x14ac:dyDescent="0.25">
      <c r="B47" s="505" t="s">
        <v>696</v>
      </c>
      <c r="C47" s="506">
        <v>0</v>
      </c>
      <c r="D47" s="506">
        <v>0</v>
      </c>
      <c r="E47" s="506">
        <v>0</v>
      </c>
      <c r="F47" s="506">
        <v>0</v>
      </c>
      <c r="G47" s="506">
        <v>0</v>
      </c>
      <c r="H47" s="506">
        <v>0</v>
      </c>
      <c r="I47" s="268">
        <f>SUM(C47:H47)</f>
        <v>0</v>
      </c>
    </row>
    <row r="48" spans="2:10" ht="11.4" outlineLevel="1" thickTop="1" thickBot="1" x14ac:dyDescent="0.25">
      <c r="B48" s="430" t="s">
        <v>887</v>
      </c>
      <c r="C48" s="311">
        <f>C33-C46</f>
        <v>0</v>
      </c>
      <c r="D48" s="311">
        <f t="shared" ref="D48:H48" si="17">D33-D46</f>
        <v>375751</v>
      </c>
      <c r="E48" s="311">
        <f>E33-E46-E47</f>
        <v>396001</v>
      </c>
      <c r="F48" s="311">
        <f t="shared" si="17"/>
        <v>6517</v>
      </c>
      <c r="G48" s="311">
        <f t="shared" si="17"/>
        <v>44689</v>
      </c>
      <c r="H48" s="311">
        <f t="shared" si="17"/>
        <v>0</v>
      </c>
      <c r="I48" s="311">
        <f>I33-I46-I47</f>
        <v>822958</v>
      </c>
      <c r="J48" s="312"/>
    </row>
    <row r="49" spans="2:10" s="265" customFormat="1" ht="10.8" outlineLevel="1" thickTop="1" x14ac:dyDescent="0.2">
      <c r="B49" s="217"/>
      <c r="C49" s="217"/>
      <c r="D49" s="217"/>
      <c r="E49" s="217"/>
      <c r="F49" s="217"/>
      <c r="G49" s="217"/>
      <c r="H49" s="217"/>
      <c r="I49" s="312">
        <f>Aktywa!D4</f>
        <v>822958</v>
      </c>
    </row>
    <row r="50" spans="2:10" outlineLevel="1" x14ac:dyDescent="0.2">
      <c r="B50" s="437" t="s">
        <v>764</v>
      </c>
      <c r="E50" s="312"/>
      <c r="G50" s="312"/>
    </row>
    <row r="51" spans="2:10" outlineLevel="1" x14ac:dyDescent="0.2">
      <c r="B51" s="251"/>
    </row>
    <row r="52" spans="2:10" s="265" customFormat="1" ht="30.6" outlineLevel="1" x14ac:dyDescent="0.2">
      <c r="B52" s="222" t="s">
        <v>316</v>
      </c>
      <c r="C52" s="259" t="s">
        <v>318</v>
      </c>
      <c r="D52" s="260" t="s">
        <v>319</v>
      </c>
      <c r="E52" s="259" t="s">
        <v>320</v>
      </c>
      <c r="F52" s="260" t="s">
        <v>524</v>
      </c>
      <c r="G52" s="259" t="s">
        <v>525</v>
      </c>
      <c r="H52" s="501" t="s">
        <v>684</v>
      </c>
      <c r="I52" s="261" t="s">
        <v>27</v>
      </c>
    </row>
    <row r="53" spans="2:10" outlineLevel="1" x14ac:dyDescent="0.2">
      <c r="B53" s="99" t="s">
        <v>765</v>
      </c>
      <c r="C53" s="262">
        <v>0</v>
      </c>
      <c r="D53" s="262">
        <v>604970</v>
      </c>
      <c r="E53" s="262">
        <v>2617683</v>
      </c>
      <c r="F53" s="262">
        <v>451177</v>
      </c>
      <c r="G53" s="262">
        <v>193860</v>
      </c>
      <c r="H53" s="262">
        <v>0</v>
      </c>
      <c r="I53" s="127">
        <f t="shared" ref="I53:I58" si="18">SUM(C53:H53)</f>
        <v>3867690</v>
      </c>
    </row>
    <row r="54" spans="2:10" outlineLevel="1" x14ac:dyDescent="0.2">
      <c r="B54" s="504" t="s">
        <v>888</v>
      </c>
      <c r="C54" s="225">
        <v>0</v>
      </c>
      <c r="D54" s="225">
        <v>0</v>
      </c>
      <c r="E54" s="225">
        <v>0</v>
      </c>
      <c r="F54" s="225">
        <v>-337177</v>
      </c>
      <c r="G54" s="225">
        <v>0</v>
      </c>
      <c r="H54" s="225">
        <v>0</v>
      </c>
      <c r="I54" s="225">
        <f t="shared" si="18"/>
        <v>-337177</v>
      </c>
    </row>
    <row r="55" spans="2:10" outlineLevel="1" x14ac:dyDescent="0.2">
      <c r="B55" s="438" t="s">
        <v>797</v>
      </c>
      <c r="C55" s="262">
        <f>SUM(C53:C54)</f>
        <v>0</v>
      </c>
      <c r="D55" s="262">
        <f t="shared" ref="D55:H55" si="19">SUM(D53:D54)</f>
        <v>604970</v>
      </c>
      <c r="E55" s="262">
        <f t="shared" si="19"/>
        <v>2617683</v>
      </c>
      <c r="F55" s="262">
        <f t="shared" si="19"/>
        <v>114000</v>
      </c>
      <c r="G55" s="262">
        <f t="shared" si="19"/>
        <v>193860</v>
      </c>
      <c r="H55" s="262">
        <f t="shared" si="19"/>
        <v>0</v>
      </c>
      <c r="I55" s="127">
        <f t="shared" si="18"/>
        <v>3530513</v>
      </c>
    </row>
    <row r="56" spans="2:10" outlineLevel="1" x14ac:dyDescent="0.2">
      <c r="B56" s="263" t="s">
        <v>101</v>
      </c>
      <c r="C56" s="264">
        <f>SUM(C57:C63)</f>
        <v>0</v>
      </c>
      <c r="D56" s="264">
        <f t="shared" ref="D56:H56" si="20">SUM(D57:D63)</f>
        <v>0</v>
      </c>
      <c r="E56" s="264">
        <f t="shared" si="20"/>
        <v>330329</v>
      </c>
      <c r="F56" s="264">
        <f t="shared" si="20"/>
        <v>36990</v>
      </c>
      <c r="G56" s="264">
        <f t="shared" si="20"/>
        <v>0</v>
      </c>
      <c r="H56" s="264">
        <f t="shared" si="20"/>
        <v>96515</v>
      </c>
      <c r="I56" s="127">
        <f t="shared" si="18"/>
        <v>463834</v>
      </c>
    </row>
    <row r="57" spans="2:10" outlineLevel="1" x14ac:dyDescent="0.2">
      <c r="B57" s="266" t="s">
        <v>156</v>
      </c>
      <c r="C57" s="220">
        <v>0</v>
      </c>
      <c r="D57" s="220">
        <v>0</v>
      </c>
      <c r="E57" s="220">
        <v>330329</v>
      </c>
      <c r="F57" s="220">
        <v>32335</v>
      </c>
      <c r="G57" s="220">
        <v>0</v>
      </c>
      <c r="H57" s="220">
        <v>96515</v>
      </c>
      <c r="I57" s="225">
        <f t="shared" si="18"/>
        <v>459179</v>
      </c>
    </row>
    <row r="58" spans="2:10" hidden="1" outlineLevel="1" x14ac:dyDescent="0.2">
      <c r="B58" s="266" t="s">
        <v>157</v>
      </c>
      <c r="C58" s="220">
        <v>0</v>
      </c>
      <c r="D58" s="220">
        <v>0</v>
      </c>
      <c r="E58" s="220">
        <v>0</v>
      </c>
      <c r="F58" s="220">
        <v>0</v>
      </c>
      <c r="G58" s="220">
        <v>0</v>
      </c>
      <c r="H58" s="220">
        <v>0</v>
      </c>
      <c r="I58" s="225">
        <f t="shared" si="18"/>
        <v>0</v>
      </c>
    </row>
    <row r="59" spans="2:10" ht="12" hidden="1" customHeight="1" outlineLevel="1" x14ac:dyDescent="0.2">
      <c r="B59" s="266" t="s">
        <v>154</v>
      </c>
      <c r="C59" s="220"/>
      <c r="D59" s="220"/>
      <c r="E59" s="220"/>
      <c r="F59" s="220"/>
      <c r="G59" s="220"/>
      <c r="H59" s="220"/>
      <c r="I59" s="225">
        <f t="shared" ref="I59:I62" si="21">SUM(C59:G59)</f>
        <v>0</v>
      </c>
    </row>
    <row r="60" spans="2:10" s="219" customFormat="1" hidden="1" outlineLevel="1" x14ac:dyDescent="0.2">
      <c r="B60" s="266" t="s">
        <v>158</v>
      </c>
      <c r="C60" s="220">
        <v>0</v>
      </c>
      <c r="D60" s="220">
        <v>0</v>
      </c>
      <c r="E60" s="220">
        <v>0</v>
      </c>
      <c r="F60" s="220">
        <v>0</v>
      </c>
      <c r="G60" s="220">
        <v>0</v>
      </c>
      <c r="H60" s="220">
        <v>0</v>
      </c>
      <c r="I60" s="225">
        <f>SUM(C60:H60)</f>
        <v>0</v>
      </c>
    </row>
    <row r="61" spans="2:10" hidden="1" x14ac:dyDescent="0.2">
      <c r="B61" s="266" t="s">
        <v>159</v>
      </c>
      <c r="C61" s="220"/>
      <c r="D61" s="220"/>
      <c r="E61" s="220"/>
      <c r="F61" s="220"/>
      <c r="G61" s="220"/>
      <c r="H61" s="220"/>
      <c r="I61" s="225">
        <f t="shared" si="21"/>
        <v>0</v>
      </c>
      <c r="J61" s="312"/>
    </row>
    <row r="62" spans="2:10" hidden="1" x14ac:dyDescent="0.2">
      <c r="B62" s="347" t="s">
        <v>519</v>
      </c>
      <c r="C62" s="220"/>
      <c r="D62" s="220"/>
      <c r="E62" s="220"/>
      <c r="F62" s="220"/>
      <c r="G62" s="220"/>
      <c r="H62" s="220"/>
      <c r="I62" s="225">
        <f t="shared" si="21"/>
        <v>0</v>
      </c>
    </row>
    <row r="63" spans="2:10" x14ac:dyDescent="0.2">
      <c r="B63" s="266" t="s">
        <v>509</v>
      </c>
      <c r="C63" s="220">
        <v>0</v>
      </c>
      <c r="D63" s="220">
        <v>0</v>
      </c>
      <c r="E63" s="220">
        <v>0</v>
      </c>
      <c r="F63" s="220">
        <v>4655</v>
      </c>
      <c r="G63" s="220">
        <v>0</v>
      </c>
      <c r="H63" s="220">
        <v>0</v>
      </c>
      <c r="I63" s="225">
        <f>SUM(C63:H63)</f>
        <v>4655</v>
      </c>
    </row>
    <row r="64" spans="2:10" outlineLevel="1" x14ac:dyDescent="0.2">
      <c r="B64" s="263" t="s">
        <v>100</v>
      </c>
      <c r="C64" s="264">
        <f>SUM(C65:C70)</f>
        <v>0</v>
      </c>
      <c r="D64" s="264">
        <f t="shared" ref="D64:H64" si="22">SUM(D65:D70)</f>
        <v>3415</v>
      </c>
      <c r="E64" s="264">
        <f t="shared" si="22"/>
        <v>168646</v>
      </c>
      <c r="F64" s="264">
        <f t="shared" si="22"/>
        <v>0</v>
      </c>
      <c r="G64" s="264">
        <f t="shared" si="22"/>
        <v>1145</v>
      </c>
      <c r="H64" s="264">
        <f t="shared" si="22"/>
        <v>0</v>
      </c>
      <c r="I64" s="127">
        <f>SUM(C64:H64)</f>
        <v>173206</v>
      </c>
    </row>
    <row r="65" spans="2:9" s="219" customFormat="1" ht="12.75" customHeight="1" outlineLevel="1" x14ac:dyDescent="0.2">
      <c r="B65" s="398" t="s">
        <v>695</v>
      </c>
      <c r="C65" s="220">
        <v>0</v>
      </c>
      <c r="D65" s="220">
        <v>0</v>
      </c>
      <c r="E65" s="220">
        <v>7519</v>
      </c>
      <c r="F65" s="220">
        <v>0</v>
      </c>
      <c r="G65" s="220">
        <v>0</v>
      </c>
      <c r="H65" s="220">
        <v>0</v>
      </c>
      <c r="I65" s="225">
        <f t="shared" ref="I65:I73" si="23">SUM(C65:H65)</f>
        <v>7519</v>
      </c>
    </row>
    <row r="66" spans="2:9" outlineLevel="1" x14ac:dyDescent="0.2">
      <c r="B66" s="266" t="s">
        <v>160</v>
      </c>
      <c r="C66" s="220">
        <v>0</v>
      </c>
      <c r="D66" s="220">
        <v>3415</v>
      </c>
      <c r="E66" s="220">
        <v>148840</v>
      </c>
      <c r="F66" s="220">
        <v>0</v>
      </c>
      <c r="G66" s="220">
        <v>1145</v>
      </c>
      <c r="H66" s="220">
        <v>0</v>
      </c>
      <c r="I66" s="225">
        <f t="shared" si="23"/>
        <v>153400</v>
      </c>
    </row>
    <row r="67" spans="2:9" outlineLevel="1" x14ac:dyDescent="0.2">
      <c r="B67" s="398" t="s">
        <v>920</v>
      </c>
      <c r="C67" s="220">
        <v>0</v>
      </c>
      <c r="D67" s="220">
        <v>0</v>
      </c>
      <c r="E67" s="220">
        <v>12287</v>
      </c>
      <c r="F67" s="220">
        <v>0</v>
      </c>
      <c r="G67" s="220">
        <v>0</v>
      </c>
      <c r="H67" s="220">
        <v>0</v>
      </c>
      <c r="I67" s="225">
        <f t="shared" si="23"/>
        <v>12287</v>
      </c>
    </row>
    <row r="68" spans="2:9" hidden="1" outlineLevel="1" x14ac:dyDescent="0.2">
      <c r="B68" s="266" t="s">
        <v>159</v>
      </c>
      <c r="C68" s="220"/>
      <c r="D68" s="220"/>
      <c r="E68" s="220"/>
      <c r="F68" s="220"/>
      <c r="G68" s="220"/>
      <c r="H68" s="220"/>
      <c r="I68" s="225">
        <f t="shared" si="23"/>
        <v>0</v>
      </c>
    </row>
    <row r="69" spans="2:9" hidden="1" outlineLevel="1" x14ac:dyDescent="0.2">
      <c r="B69" s="266" t="s">
        <v>162</v>
      </c>
      <c r="C69" s="220"/>
      <c r="D69" s="220"/>
      <c r="E69" s="220"/>
      <c r="F69" s="220"/>
      <c r="G69" s="220"/>
      <c r="H69" s="220"/>
      <c r="I69" s="225">
        <f t="shared" si="23"/>
        <v>0</v>
      </c>
    </row>
    <row r="70" spans="2:9" hidden="1" outlineLevel="1" x14ac:dyDescent="0.2">
      <c r="B70" s="398" t="s">
        <v>694</v>
      </c>
      <c r="C70" s="220">
        <v>0</v>
      </c>
      <c r="D70" s="220">
        <v>0</v>
      </c>
      <c r="E70" s="220">
        <v>0</v>
      </c>
      <c r="F70" s="220">
        <v>0</v>
      </c>
      <c r="G70" s="220">
        <v>0</v>
      </c>
      <c r="H70" s="220">
        <v>0</v>
      </c>
      <c r="I70" s="225">
        <f t="shared" si="23"/>
        <v>0</v>
      </c>
    </row>
    <row r="71" spans="2:9" ht="10.8" outlineLevel="1" thickBot="1" x14ac:dyDescent="0.25">
      <c r="B71" s="412" t="s">
        <v>767</v>
      </c>
      <c r="C71" s="267">
        <f>C53+C56-C64</f>
        <v>0</v>
      </c>
      <c r="D71" s="267">
        <f>D55+D56-D64</f>
        <v>601555</v>
      </c>
      <c r="E71" s="267">
        <f t="shared" ref="E71:H71" si="24">E55+E56-E64</f>
        <v>2779366</v>
      </c>
      <c r="F71" s="267">
        <f t="shared" si="24"/>
        <v>150990</v>
      </c>
      <c r="G71" s="267">
        <f t="shared" si="24"/>
        <v>192715</v>
      </c>
      <c r="H71" s="267">
        <f t="shared" si="24"/>
        <v>96515</v>
      </c>
      <c r="I71" s="127">
        <f t="shared" si="23"/>
        <v>3821141</v>
      </c>
    </row>
    <row r="72" spans="2:9" ht="10.8" outlineLevel="1" thickTop="1" x14ac:dyDescent="0.2">
      <c r="B72" s="57" t="s">
        <v>768</v>
      </c>
      <c r="C72" s="218">
        <v>0</v>
      </c>
      <c r="D72" s="218">
        <v>108770</v>
      </c>
      <c r="E72" s="218">
        <v>2189040</v>
      </c>
      <c r="F72" s="218">
        <v>171402</v>
      </c>
      <c r="G72" s="218">
        <v>95604</v>
      </c>
      <c r="H72" s="218">
        <v>0</v>
      </c>
      <c r="I72" s="127">
        <f>SUM(C72:H72)</f>
        <v>2564816</v>
      </c>
    </row>
    <row r="73" spans="2:9" outlineLevel="1" x14ac:dyDescent="0.2">
      <c r="B73" s="504" t="s">
        <v>888</v>
      </c>
      <c r="C73" s="207">
        <v>0</v>
      </c>
      <c r="D73" s="207">
        <v>0</v>
      </c>
      <c r="E73" s="207">
        <v>0</v>
      </c>
      <c r="F73" s="207">
        <v>-57402</v>
      </c>
      <c r="G73" s="207">
        <v>0</v>
      </c>
      <c r="H73" s="207">
        <v>0</v>
      </c>
      <c r="I73" s="225">
        <f t="shared" si="23"/>
        <v>-57402</v>
      </c>
    </row>
    <row r="74" spans="2:9" outlineLevel="1" x14ac:dyDescent="0.2">
      <c r="B74" s="438" t="s">
        <v>889</v>
      </c>
      <c r="C74" s="218">
        <f>C72+C73</f>
        <v>0</v>
      </c>
      <c r="D74" s="218">
        <f t="shared" ref="D74:H74" si="25">D72+D73</f>
        <v>108770</v>
      </c>
      <c r="E74" s="218">
        <f t="shared" si="25"/>
        <v>2189040</v>
      </c>
      <c r="F74" s="218">
        <f t="shared" si="25"/>
        <v>114000</v>
      </c>
      <c r="G74" s="218">
        <f t="shared" si="25"/>
        <v>95604</v>
      </c>
      <c r="H74" s="218">
        <f t="shared" si="25"/>
        <v>0</v>
      </c>
      <c r="I74" s="127">
        <f>SUM(C74:H74)</f>
        <v>2507414</v>
      </c>
    </row>
    <row r="75" spans="2:9" outlineLevel="1" x14ac:dyDescent="0.2">
      <c r="B75" s="263" t="s">
        <v>101</v>
      </c>
      <c r="C75" s="264">
        <f>SUM(C76:C78)</f>
        <v>0</v>
      </c>
      <c r="D75" s="264">
        <f t="shared" ref="D75:G75" si="26">SUM(D76:D78)</f>
        <v>60234</v>
      </c>
      <c r="E75" s="264">
        <f t="shared" si="26"/>
        <v>263875</v>
      </c>
      <c r="F75" s="264">
        <f t="shared" si="26"/>
        <v>1617</v>
      </c>
      <c r="G75" s="264">
        <f t="shared" si="26"/>
        <v>28313</v>
      </c>
      <c r="H75" s="264">
        <v>0</v>
      </c>
      <c r="I75" s="127">
        <f>SUM(C75:H75)</f>
        <v>354039</v>
      </c>
    </row>
    <row r="76" spans="2:9" outlineLevel="1" x14ac:dyDescent="0.2">
      <c r="B76" s="266" t="s">
        <v>163</v>
      </c>
      <c r="C76" s="220">
        <v>0</v>
      </c>
      <c r="D76" s="220">
        <v>60234</v>
      </c>
      <c r="E76" s="220">
        <v>263875</v>
      </c>
      <c r="F76" s="220">
        <v>1617</v>
      </c>
      <c r="G76" s="220">
        <v>28313</v>
      </c>
      <c r="H76" s="220">
        <v>0</v>
      </c>
      <c r="I76" s="225">
        <f>SUM(C76:H76)</f>
        <v>354039</v>
      </c>
    </row>
    <row r="77" spans="2:9" hidden="1" outlineLevel="1" x14ac:dyDescent="0.2">
      <c r="B77" s="266" t="s">
        <v>159</v>
      </c>
      <c r="C77" s="220"/>
      <c r="D77" s="220"/>
      <c r="E77" s="220"/>
      <c r="F77" s="220"/>
      <c r="G77" s="220"/>
      <c r="H77" s="220"/>
      <c r="I77" s="225">
        <f t="shared" ref="I77:I83" si="27">SUM(C77:G77)</f>
        <v>0</v>
      </c>
    </row>
    <row r="78" spans="2:9" hidden="1" outlineLevel="1" x14ac:dyDescent="0.2">
      <c r="B78" s="266" t="s">
        <v>509</v>
      </c>
      <c r="C78" s="220">
        <v>0</v>
      </c>
      <c r="D78" s="220">
        <v>0</v>
      </c>
      <c r="E78" s="220">
        <v>0</v>
      </c>
      <c r="F78" s="220">
        <v>0</v>
      </c>
      <c r="G78" s="220">
        <v>0</v>
      </c>
      <c r="H78" s="220">
        <v>0</v>
      </c>
      <c r="I78" s="225">
        <f>SUM(C78:H78)</f>
        <v>0</v>
      </c>
    </row>
    <row r="79" spans="2:9" outlineLevel="1" x14ac:dyDescent="0.2">
      <c r="B79" s="263" t="s">
        <v>100</v>
      </c>
      <c r="C79" s="264">
        <f>SUM(C80:C84)</f>
        <v>0</v>
      </c>
      <c r="D79" s="264">
        <f t="shared" ref="D79:H79" si="28">SUM(D80:D84)</f>
        <v>3415</v>
      </c>
      <c r="E79" s="264">
        <f t="shared" si="28"/>
        <v>158922</v>
      </c>
      <c r="F79" s="264">
        <f t="shared" si="28"/>
        <v>0</v>
      </c>
      <c r="G79" s="264">
        <f t="shared" si="28"/>
        <v>2821</v>
      </c>
      <c r="H79" s="264">
        <f t="shared" si="28"/>
        <v>0</v>
      </c>
      <c r="I79" s="127">
        <f>SUM(C79:H79)</f>
        <v>165158</v>
      </c>
    </row>
    <row r="80" spans="2:9" outlineLevel="1" x14ac:dyDescent="0.2">
      <c r="B80" s="398" t="s">
        <v>695</v>
      </c>
      <c r="C80" s="220">
        <v>0</v>
      </c>
      <c r="D80" s="220">
        <v>0</v>
      </c>
      <c r="E80" s="220">
        <v>5376</v>
      </c>
      <c r="F80" s="220">
        <v>0</v>
      </c>
      <c r="G80" s="220">
        <v>475</v>
      </c>
      <c r="H80" s="207">
        <v>0</v>
      </c>
      <c r="I80" s="225">
        <f t="shared" ref="I80:I81" si="29">SUM(C80:H80)</f>
        <v>5851</v>
      </c>
    </row>
    <row r="81" spans="2:10" outlineLevel="1" x14ac:dyDescent="0.2">
      <c r="B81" s="266" t="s">
        <v>160</v>
      </c>
      <c r="C81" s="220">
        <v>0</v>
      </c>
      <c r="D81" s="220">
        <v>3415</v>
      </c>
      <c r="E81" s="220">
        <v>147100</v>
      </c>
      <c r="F81" s="220">
        <v>0</v>
      </c>
      <c r="G81" s="220">
        <v>0</v>
      </c>
      <c r="H81" s="220">
        <v>0</v>
      </c>
      <c r="I81" s="225">
        <f t="shared" si="29"/>
        <v>150515</v>
      </c>
    </row>
    <row r="82" spans="2:10" outlineLevel="1" x14ac:dyDescent="0.2">
      <c r="B82" s="398" t="s">
        <v>920</v>
      </c>
      <c r="C82" s="220">
        <v>0</v>
      </c>
      <c r="D82" s="220">
        <v>0</v>
      </c>
      <c r="E82" s="220">
        <v>1667</v>
      </c>
      <c r="F82" s="220">
        <v>0</v>
      </c>
      <c r="G82" s="220">
        <v>0</v>
      </c>
      <c r="H82" s="220">
        <v>0</v>
      </c>
      <c r="I82" s="127">
        <f>SUM(C82:H82)</f>
        <v>1667</v>
      </c>
    </row>
    <row r="83" spans="2:10" hidden="1" outlineLevel="1" x14ac:dyDescent="0.2">
      <c r="B83" s="266" t="s">
        <v>159</v>
      </c>
      <c r="C83" s="220">
        <v>0</v>
      </c>
      <c r="D83" s="220"/>
      <c r="E83" s="220"/>
      <c r="F83" s="220"/>
      <c r="G83" s="220"/>
      <c r="H83" s="220"/>
      <c r="I83" s="127">
        <f t="shared" si="27"/>
        <v>0</v>
      </c>
    </row>
    <row r="84" spans="2:10" s="219" customFormat="1" outlineLevel="1" x14ac:dyDescent="0.2">
      <c r="B84" s="266" t="s">
        <v>509</v>
      </c>
      <c r="C84" s="220">
        <v>0</v>
      </c>
      <c r="D84" s="220">
        <v>0</v>
      </c>
      <c r="E84" s="220">
        <v>4779</v>
      </c>
      <c r="F84" s="220">
        <v>0</v>
      </c>
      <c r="G84" s="220">
        <v>2346</v>
      </c>
      <c r="H84" s="220">
        <v>0</v>
      </c>
      <c r="I84" s="127">
        <f>SUM(C84:H84)</f>
        <v>7125</v>
      </c>
    </row>
    <row r="85" spans="2:10" ht="10.8" outlineLevel="1" thickBot="1" x14ac:dyDescent="0.25">
      <c r="B85" s="412" t="s">
        <v>770</v>
      </c>
      <c r="C85" s="268">
        <f>C72+C75-C79</f>
        <v>0</v>
      </c>
      <c r="D85" s="268">
        <f>D74+D75-D79</f>
        <v>165589</v>
      </c>
      <c r="E85" s="268">
        <f t="shared" ref="E85:G85" si="30">E74+E75-E79</f>
        <v>2293993</v>
      </c>
      <c r="F85" s="268">
        <f t="shared" si="30"/>
        <v>115617</v>
      </c>
      <c r="G85" s="268">
        <f t="shared" si="30"/>
        <v>121096</v>
      </c>
      <c r="H85" s="268">
        <f>H72+H75-H79</f>
        <v>0</v>
      </c>
      <c r="I85" s="268">
        <f>SUM(C85:H85)</f>
        <v>2696295</v>
      </c>
    </row>
    <row r="86" spans="2:10" ht="11.4" hidden="1" outlineLevel="1" thickTop="1" thickBot="1" x14ac:dyDescent="0.25">
      <c r="B86" s="412" t="s">
        <v>729</v>
      </c>
      <c r="C86" s="268">
        <v>0</v>
      </c>
      <c r="D86" s="268">
        <v>0</v>
      </c>
      <c r="E86" s="268">
        <v>0</v>
      </c>
      <c r="F86" s="268">
        <v>0</v>
      </c>
      <c r="G86" s="268">
        <v>0</v>
      </c>
      <c r="H86" s="268">
        <v>0</v>
      </c>
      <c r="I86" s="268">
        <f>SUM(C86:H86)</f>
        <v>0</v>
      </c>
    </row>
    <row r="87" spans="2:10" ht="12.75" customHeight="1" outlineLevel="1" thickTop="1" thickBot="1" x14ac:dyDescent="0.25">
      <c r="B87" s="412" t="s">
        <v>771</v>
      </c>
      <c r="C87" s="267">
        <f>C71-C85-C86</f>
        <v>0</v>
      </c>
      <c r="D87" s="267">
        <f t="shared" ref="D87:H87" si="31">D71-D85-D86</f>
        <v>435966</v>
      </c>
      <c r="E87" s="267">
        <f t="shared" si="31"/>
        <v>485373</v>
      </c>
      <c r="F87" s="267">
        <f t="shared" si="31"/>
        <v>35373</v>
      </c>
      <c r="G87" s="267">
        <f t="shared" si="31"/>
        <v>71619</v>
      </c>
      <c r="H87" s="267">
        <f t="shared" si="31"/>
        <v>96515</v>
      </c>
      <c r="I87" s="267">
        <f>SUM(C87:H87)</f>
        <v>1124846</v>
      </c>
      <c r="J87" s="312">
        <f>I87-Aktywa!E4</f>
        <v>0</v>
      </c>
    </row>
    <row r="88" spans="2:10" ht="10.8" outlineLevel="1" thickTop="1" x14ac:dyDescent="0.2"/>
    <row r="89" spans="2:10" outlineLevel="1" x14ac:dyDescent="0.2"/>
    <row r="90" spans="2:10" outlineLevel="1" x14ac:dyDescent="0.2"/>
    <row r="91" spans="2:10" outlineLevel="1" x14ac:dyDescent="0.2"/>
    <row r="92" spans="2:10" outlineLevel="1" x14ac:dyDescent="0.2"/>
    <row r="93" spans="2:10" outlineLevel="1" x14ac:dyDescent="0.2"/>
    <row r="94" spans="2:10" outlineLevel="1" x14ac:dyDescent="0.2"/>
    <row r="95" spans="2:10" outlineLevel="1" x14ac:dyDescent="0.2"/>
    <row r="96" spans="2:10" outlineLevel="1" x14ac:dyDescent="0.2"/>
    <row r="97" spans="2:10" ht="11.25" customHeight="1" outlineLevel="1" x14ac:dyDescent="0.2"/>
    <row r="98" spans="2:10" ht="12.75" customHeight="1" outlineLevel="1" x14ac:dyDescent="0.2"/>
    <row r="99" spans="2:10" ht="11.25" customHeight="1" outlineLevel="1" x14ac:dyDescent="0.2"/>
    <row r="100" spans="2:10" ht="11.25" customHeight="1" outlineLevel="1" x14ac:dyDescent="0.2"/>
    <row r="101" spans="2:10" ht="12.75" customHeight="1" outlineLevel="1" x14ac:dyDescent="0.2"/>
    <row r="102" spans="2:10" outlineLevel="1" x14ac:dyDescent="0.2"/>
    <row r="103" spans="2:10" outlineLevel="1" x14ac:dyDescent="0.2"/>
    <row r="104" spans="2:10" outlineLevel="1" x14ac:dyDescent="0.2"/>
    <row r="105" spans="2:10" outlineLevel="1" x14ac:dyDescent="0.2"/>
    <row r="106" spans="2:10" ht="13.95" customHeight="1" outlineLevel="1" x14ac:dyDescent="0.2"/>
    <row r="107" spans="2:10" s="219" customFormat="1" outlineLevel="1" x14ac:dyDescent="0.2">
      <c r="B107" s="217"/>
      <c r="C107" s="217"/>
      <c r="D107" s="217"/>
      <c r="E107" s="217"/>
      <c r="F107" s="217"/>
      <c r="G107" s="217"/>
      <c r="H107" s="217"/>
      <c r="I107" s="217"/>
    </row>
    <row r="108" spans="2:10" s="219" customFormat="1" outlineLevel="1" x14ac:dyDescent="0.2">
      <c r="B108" s="217"/>
      <c r="C108" s="217"/>
      <c r="D108" s="217"/>
      <c r="E108" s="217"/>
      <c r="F108" s="217"/>
      <c r="G108" s="217"/>
      <c r="H108" s="217"/>
      <c r="I108" s="217"/>
      <c r="J108" s="411"/>
    </row>
    <row r="113" spans="2:9" s="219" customFormat="1" ht="11.25" customHeight="1" x14ac:dyDescent="0.2">
      <c r="B113" s="217"/>
      <c r="C113" s="217"/>
      <c r="D113" s="217"/>
      <c r="E113" s="217"/>
      <c r="F113" s="217"/>
      <c r="G113" s="217"/>
      <c r="H113" s="217"/>
      <c r="I113" s="217"/>
    </row>
    <row r="114" spans="2:9" s="219" customFormat="1" x14ac:dyDescent="0.2">
      <c r="B114" s="217"/>
      <c r="C114" s="217"/>
      <c r="D114" s="217"/>
      <c r="E114" s="217"/>
      <c r="F114" s="217"/>
      <c r="G114" s="217"/>
      <c r="H114" s="217"/>
      <c r="I114" s="217"/>
    </row>
    <row r="115" spans="2:9" s="219" customFormat="1" ht="22.95" customHeight="1" x14ac:dyDescent="0.2">
      <c r="B115" s="217"/>
      <c r="C115" s="217"/>
      <c r="D115" s="217"/>
      <c r="E115" s="217"/>
      <c r="F115" s="217"/>
      <c r="G115" s="217"/>
      <c r="H115" s="217"/>
      <c r="I115" s="217"/>
    </row>
    <row r="119" spans="2:9" ht="12.75" customHeight="1" x14ac:dyDescent="0.2"/>
    <row r="121" spans="2:9" ht="17.25" customHeight="1" x14ac:dyDescent="0.2"/>
    <row r="125" spans="2:9" ht="11.25" customHeight="1" x14ac:dyDescent="0.2"/>
    <row r="135" spans="2:9" s="219" customFormat="1" x14ac:dyDescent="0.2">
      <c r="B135" s="217"/>
      <c r="C135" s="217"/>
      <c r="D135" s="217"/>
      <c r="E135" s="217"/>
      <c r="F135" s="217"/>
      <c r="G135" s="217"/>
      <c r="H135" s="217"/>
      <c r="I135" s="217"/>
    </row>
    <row r="136" spans="2:9" s="219" customFormat="1" x14ac:dyDescent="0.2">
      <c r="B136" s="217"/>
      <c r="C136" s="217"/>
      <c r="D136" s="217"/>
      <c r="E136" s="217"/>
      <c r="F136" s="217"/>
      <c r="G136" s="217"/>
      <c r="H136" s="217"/>
      <c r="I136" s="217"/>
    </row>
    <row r="156" ht="11.25" customHeight="1" x14ac:dyDescent="0.2"/>
    <row r="157" ht="11.25" customHeight="1" x14ac:dyDescent="0.2"/>
    <row r="162" ht="11.25" customHeight="1" x14ac:dyDescent="0.2"/>
    <row r="163" ht="11.25" customHeight="1" x14ac:dyDescent="0.2"/>
    <row r="168" ht="11.25" customHeight="1" x14ac:dyDescent="0.2"/>
  </sheetData>
  <phoneticPr fontId="31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headerFooter alignWithMargins="0"/>
  <rowBreaks count="1" manualBreakCount="1">
    <brk id="60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P173"/>
  <sheetViews>
    <sheetView showGridLines="0" view="pageBreakPreview" topLeftCell="A18" zoomScaleNormal="100" zoomScaleSheetLayoutView="100" workbookViewId="0">
      <selection activeCell="B2" sqref="B2"/>
    </sheetView>
  </sheetViews>
  <sheetFormatPr defaultColWidth="9.33203125" defaultRowHeight="10.199999999999999" outlineLevelRow="1" x14ac:dyDescent="0.2"/>
  <cols>
    <col min="1" max="1" width="3.44140625" style="543" customWidth="1"/>
    <col min="2" max="2" width="41.33203125" style="543" customWidth="1"/>
    <col min="3" max="3" width="14.6640625" style="543" customWidth="1"/>
    <col min="4" max="6" width="14.6640625" style="543" hidden="1" customWidth="1"/>
    <col min="7" max="9" width="14.6640625" style="543" customWidth="1"/>
    <col min="10" max="10" width="11.33203125" style="543" customWidth="1"/>
    <col min="11" max="16384" width="9.33203125" style="543"/>
  </cols>
  <sheetData>
    <row r="1" spans="2:10" x14ac:dyDescent="0.2">
      <c r="B1" s="542"/>
    </row>
    <row r="2" spans="2:10" ht="16.5" customHeight="1" x14ac:dyDescent="0.25">
      <c r="B2" s="399" t="s">
        <v>1058</v>
      </c>
    </row>
    <row r="3" spans="2:10" ht="12" customHeight="1" x14ac:dyDescent="0.2">
      <c r="B3" s="3"/>
    </row>
    <row r="4" spans="2:10" x14ac:dyDescent="0.2">
      <c r="B4" s="52" t="s">
        <v>898</v>
      </c>
    </row>
    <row r="5" spans="2:10" x14ac:dyDescent="0.2">
      <c r="B5" s="52"/>
    </row>
    <row r="6" spans="2:10" s="106" customFormat="1" ht="30.6" outlineLevel="1" x14ac:dyDescent="0.25">
      <c r="B6" s="71" t="s">
        <v>316</v>
      </c>
      <c r="C6" s="550" t="s">
        <v>166</v>
      </c>
      <c r="D6" s="71" t="s">
        <v>661</v>
      </c>
      <c r="E6" s="550" t="s">
        <v>660</v>
      </c>
      <c r="F6" s="71" t="s">
        <v>169</v>
      </c>
      <c r="G6" s="550" t="s">
        <v>659</v>
      </c>
      <c r="H6" s="550" t="s">
        <v>232</v>
      </c>
      <c r="I6" s="550" t="s">
        <v>725</v>
      </c>
      <c r="J6" s="550" t="s">
        <v>376</v>
      </c>
    </row>
    <row r="7" spans="2:10" ht="12.75" customHeight="1" outlineLevel="1" x14ac:dyDescent="0.2">
      <c r="B7" s="341" t="s">
        <v>899</v>
      </c>
      <c r="C7" s="161">
        <f>C61</f>
        <v>10999806</v>
      </c>
      <c r="D7" s="161">
        <f>D61</f>
        <v>0</v>
      </c>
      <c r="E7" s="161">
        <f>E61</f>
        <v>0</v>
      </c>
      <c r="F7" s="161">
        <f>F61</f>
        <v>0</v>
      </c>
      <c r="G7" s="161">
        <f>G61</f>
        <v>14963177</v>
      </c>
      <c r="H7" s="161">
        <f t="shared" ref="H7:I7" si="0">H61</f>
        <v>16900</v>
      </c>
      <c r="I7" s="161">
        <f t="shared" si="0"/>
        <v>1982548</v>
      </c>
      <c r="J7" s="361">
        <f>SUM(C7:I7)</f>
        <v>27962431</v>
      </c>
    </row>
    <row r="8" spans="2:10" ht="12.75" hidden="1" customHeight="1" outlineLevel="1" x14ac:dyDescent="0.2">
      <c r="B8" s="504" t="s">
        <v>697</v>
      </c>
      <c r="C8" s="446">
        <v>0</v>
      </c>
      <c r="D8" s="446"/>
      <c r="E8" s="446"/>
      <c r="F8" s="446"/>
      <c r="G8" s="446">
        <v>0</v>
      </c>
      <c r="H8" s="647">
        <v>0</v>
      </c>
      <c r="I8" s="647">
        <v>0</v>
      </c>
      <c r="J8" s="647">
        <f t="shared" ref="J8:J10" si="1">SUM(C8:I8)</f>
        <v>0</v>
      </c>
    </row>
    <row r="9" spans="2:10" ht="24.75" hidden="1" customHeight="1" outlineLevel="1" x14ac:dyDescent="0.2">
      <c r="B9" s="438" t="s">
        <v>900</v>
      </c>
      <c r="C9" s="161">
        <f>C7+C8</f>
        <v>10999806</v>
      </c>
      <c r="D9" s="161">
        <f t="shared" ref="D9:I9" si="2">D7+D8</f>
        <v>0</v>
      </c>
      <c r="E9" s="161">
        <f t="shared" si="2"/>
        <v>0</v>
      </c>
      <c r="F9" s="161">
        <f t="shared" si="2"/>
        <v>0</v>
      </c>
      <c r="G9" s="161">
        <f t="shared" si="2"/>
        <v>14963177</v>
      </c>
      <c r="H9" s="161">
        <f t="shared" si="2"/>
        <v>16900</v>
      </c>
      <c r="I9" s="161">
        <f t="shared" si="2"/>
        <v>1982548</v>
      </c>
      <c r="J9" s="161">
        <f t="shared" si="1"/>
        <v>27962431</v>
      </c>
    </row>
    <row r="10" spans="2:10" s="88" customFormat="1" outlineLevel="1" x14ac:dyDescent="0.2">
      <c r="B10" s="211" t="s">
        <v>101</v>
      </c>
      <c r="C10" s="209">
        <f t="shared" ref="C10:I10" si="3">SUM(C11:C14)</f>
        <v>0</v>
      </c>
      <c r="D10" s="209">
        <f t="shared" si="3"/>
        <v>0</v>
      </c>
      <c r="E10" s="209">
        <f t="shared" si="3"/>
        <v>0</v>
      </c>
      <c r="F10" s="209">
        <f t="shared" si="3"/>
        <v>0</v>
      </c>
      <c r="G10" s="209">
        <f t="shared" si="3"/>
        <v>293499</v>
      </c>
      <c r="H10" s="209">
        <f t="shared" si="3"/>
        <v>89981</v>
      </c>
      <c r="I10" s="209">
        <f t="shared" si="3"/>
        <v>2196918</v>
      </c>
      <c r="J10" s="361">
        <f t="shared" si="1"/>
        <v>2580398</v>
      </c>
    </row>
    <row r="11" spans="2:10" outlineLevel="1" x14ac:dyDescent="0.2">
      <c r="B11" s="323" t="s">
        <v>441</v>
      </c>
      <c r="C11" s="207">
        <v>0</v>
      </c>
      <c r="D11" s="207">
        <v>0</v>
      </c>
      <c r="E11" s="207">
        <v>0</v>
      </c>
      <c r="F11" s="207">
        <v>0</v>
      </c>
      <c r="G11" s="207">
        <v>293499</v>
      </c>
      <c r="H11" s="225">
        <v>89981</v>
      </c>
      <c r="I11" s="225">
        <v>0</v>
      </c>
      <c r="J11" s="225">
        <f>SUM(C11:I12)</f>
        <v>383480</v>
      </c>
    </row>
    <row r="12" spans="2:10" hidden="1" outlineLevel="1" x14ac:dyDescent="0.2">
      <c r="B12" s="362" t="s">
        <v>159</v>
      </c>
      <c r="C12" s="207"/>
      <c r="D12" s="207"/>
      <c r="E12" s="207"/>
      <c r="F12" s="207"/>
      <c r="G12" s="207"/>
      <c r="H12" s="225"/>
      <c r="I12" s="225"/>
      <c r="J12" s="225">
        <f t="shared" ref="J12:J13" si="4">SUM(C12:I13)</f>
        <v>2190653</v>
      </c>
    </row>
    <row r="13" spans="2:10" outlineLevel="1" x14ac:dyDescent="0.2">
      <c r="B13" s="362" t="s">
        <v>658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25">
        <v>0</v>
      </c>
      <c r="I13" s="225">
        <v>2190653</v>
      </c>
      <c r="J13" s="225">
        <f t="shared" si="4"/>
        <v>2196918</v>
      </c>
    </row>
    <row r="14" spans="2:10" outlineLevel="1" x14ac:dyDescent="0.2">
      <c r="B14" s="323" t="s">
        <v>509</v>
      </c>
      <c r="C14" s="207">
        <v>0</v>
      </c>
      <c r="D14" s="207">
        <v>0</v>
      </c>
      <c r="E14" s="207">
        <v>0</v>
      </c>
      <c r="F14" s="207"/>
      <c r="G14" s="207">
        <v>0</v>
      </c>
      <c r="H14" s="225">
        <v>0</v>
      </c>
      <c r="I14" s="225">
        <v>6265</v>
      </c>
      <c r="J14" s="225">
        <f>SUM(C14:I14)</f>
        <v>6265</v>
      </c>
    </row>
    <row r="15" spans="2:10" s="88" customFormat="1" outlineLevel="1" x14ac:dyDescent="0.2">
      <c r="B15" s="211" t="s">
        <v>100</v>
      </c>
      <c r="C15" s="209">
        <f t="shared" ref="C15:I15" si="5">SUM(C16:C19)</f>
        <v>665225</v>
      </c>
      <c r="D15" s="209">
        <f t="shared" si="5"/>
        <v>0</v>
      </c>
      <c r="E15" s="209">
        <f t="shared" si="5"/>
        <v>0</v>
      </c>
      <c r="F15" s="209">
        <f t="shared" si="5"/>
        <v>0</v>
      </c>
      <c r="G15" s="209">
        <f t="shared" si="5"/>
        <v>0</v>
      </c>
      <c r="H15" s="209">
        <f t="shared" si="5"/>
        <v>0</v>
      </c>
      <c r="I15" s="209">
        <f t="shared" si="5"/>
        <v>216509</v>
      </c>
      <c r="J15" s="361">
        <f t="shared" ref="J15" si="6">SUM(C15:I15)</f>
        <v>881734</v>
      </c>
    </row>
    <row r="16" spans="2:10" hidden="1" outlineLevel="1" x14ac:dyDescent="0.2">
      <c r="B16" s="323" t="s">
        <v>726</v>
      </c>
      <c r="C16" s="207">
        <v>0</v>
      </c>
      <c r="D16" s="207">
        <v>0</v>
      </c>
      <c r="E16" s="207">
        <v>0</v>
      </c>
      <c r="F16" s="207"/>
      <c r="G16" s="207">
        <v>0</v>
      </c>
      <c r="H16" s="225">
        <v>0</v>
      </c>
      <c r="I16" s="225">
        <v>0</v>
      </c>
      <c r="J16" s="225">
        <f>SUM(C16:I16)</f>
        <v>0</v>
      </c>
    </row>
    <row r="17" spans="2:12" hidden="1" outlineLevel="1" x14ac:dyDescent="0.2">
      <c r="B17" s="362" t="s">
        <v>160</v>
      </c>
      <c r="C17" s="207">
        <v>0</v>
      </c>
      <c r="D17" s="207"/>
      <c r="E17" s="207"/>
      <c r="F17" s="207"/>
      <c r="G17" s="207">
        <v>0</v>
      </c>
      <c r="H17" s="225">
        <v>0</v>
      </c>
      <c r="I17" s="225">
        <v>0</v>
      </c>
      <c r="J17" s="225">
        <f t="shared" ref="J17:J19" si="7">SUM(C17:I17)</f>
        <v>0</v>
      </c>
    </row>
    <row r="18" spans="2:12" outlineLevel="1" x14ac:dyDescent="0.2">
      <c r="B18" s="323" t="s">
        <v>695</v>
      </c>
      <c r="C18" s="207">
        <v>665225</v>
      </c>
      <c r="D18" s="207"/>
      <c r="E18" s="207"/>
      <c r="F18" s="207"/>
      <c r="G18" s="207">
        <v>0</v>
      </c>
      <c r="H18" s="225">
        <v>0</v>
      </c>
      <c r="I18" s="225">
        <v>216509</v>
      </c>
      <c r="J18" s="225">
        <f t="shared" si="7"/>
        <v>881734</v>
      </c>
    </row>
    <row r="19" spans="2:12" hidden="1" outlineLevel="1" x14ac:dyDescent="0.2">
      <c r="B19" s="323" t="s">
        <v>509</v>
      </c>
      <c r="C19" s="207">
        <v>0</v>
      </c>
      <c r="D19" s="207"/>
      <c r="E19" s="207"/>
      <c r="F19" s="207"/>
      <c r="G19" s="207">
        <v>0</v>
      </c>
      <c r="H19" s="225">
        <v>0</v>
      </c>
      <c r="I19" s="225">
        <v>0</v>
      </c>
      <c r="J19" s="225">
        <f t="shared" si="7"/>
        <v>0</v>
      </c>
    </row>
    <row r="20" spans="2:12" ht="14.25" customHeight="1" outlineLevel="1" thickBot="1" x14ac:dyDescent="0.25">
      <c r="B20" s="412" t="s">
        <v>883</v>
      </c>
      <c r="C20" s="162">
        <f>C9+C10-C15</f>
        <v>10334581</v>
      </c>
      <c r="D20" s="162">
        <f t="shared" ref="D20:H20" si="8">D9+D10-D15</f>
        <v>0</v>
      </c>
      <c r="E20" s="162">
        <f t="shared" si="8"/>
        <v>0</v>
      </c>
      <c r="F20" s="162">
        <f t="shared" si="8"/>
        <v>0</v>
      </c>
      <c r="G20" s="162">
        <f t="shared" si="8"/>
        <v>15256676</v>
      </c>
      <c r="H20" s="162">
        <f t="shared" si="8"/>
        <v>106881</v>
      </c>
      <c r="I20" s="162">
        <f>I9+I10-I15</f>
        <v>3962957</v>
      </c>
      <c r="J20" s="360">
        <f>J9+J10-J15</f>
        <v>29661095</v>
      </c>
      <c r="L20" s="370"/>
    </row>
    <row r="21" spans="2:12" ht="14.25" customHeight="1" outlineLevel="1" thickTop="1" x14ac:dyDescent="0.25">
      <c r="B21" s="555" t="s">
        <v>901</v>
      </c>
      <c r="C21" s="367">
        <f>C67</f>
        <v>981857</v>
      </c>
      <c r="D21" s="367">
        <f t="shared" ref="D21:I21" si="9">D67</f>
        <v>0</v>
      </c>
      <c r="E21" s="367">
        <f t="shared" si="9"/>
        <v>0</v>
      </c>
      <c r="F21" s="367">
        <f t="shared" si="9"/>
        <v>0</v>
      </c>
      <c r="G21" s="367">
        <f t="shared" si="9"/>
        <v>150000</v>
      </c>
      <c r="H21" s="367">
        <f t="shared" si="9"/>
        <v>0</v>
      </c>
      <c r="I21" s="367">
        <f t="shared" si="9"/>
        <v>553647</v>
      </c>
      <c r="J21" s="367">
        <f>SUM(C21:I21)</f>
        <v>1685504</v>
      </c>
      <c r="L21" s="370"/>
    </row>
    <row r="22" spans="2:12" ht="14.25" hidden="1" customHeight="1" outlineLevel="1" x14ac:dyDescent="0.2">
      <c r="B22" s="504" t="s">
        <v>697</v>
      </c>
      <c r="C22" s="491">
        <v>0</v>
      </c>
      <c r="D22" s="367"/>
      <c r="E22" s="367"/>
      <c r="F22" s="367"/>
      <c r="G22" s="491">
        <v>0</v>
      </c>
      <c r="H22" s="367">
        <v>0</v>
      </c>
      <c r="I22" s="491">
        <v>0</v>
      </c>
      <c r="J22" s="556">
        <f>SUM(C22:I22)</f>
        <v>0</v>
      </c>
      <c r="L22" s="370"/>
    </row>
    <row r="23" spans="2:12" ht="23.25" hidden="1" customHeight="1" outlineLevel="1" x14ac:dyDescent="0.25">
      <c r="B23" s="557" t="s">
        <v>902</v>
      </c>
      <c r="C23" s="367">
        <f>C21+C22</f>
        <v>981857</v>
      </c>
      <c r="D23" s="367">
        <f t="shared" ref="D23:I23" si="10">D21+D22</f>
        <v>0</v>
      </c>
      <c r="E23" s="367">
        <f t="shared" si="10"/>
        <v>0</v>
      </c>
      <c r="F23" s="367">
        <f t="shared" si="10"/>
        <v>0</v>
      </c>
      <c r="G23" s="367">
        <f t="shared" si="10"/>
        <v>150000</v>
      </c>
      <c r="H23" s="367">
        <f t="shared" si="10"/>
        <v>0</v>
      </c>
      <c r="I23" s="367">
        <f t="shared" si="10"/>
        <v>553647</v>
      </c>
      <c r="J23" s="367">
        <f t="shared" ref="J23:J26" si="11">SUM(C23:I23)</f>
        <v>1685504</v>
      </c>
      <c r="L23" s="370"/>
    </row>
    <row r="24" spans="2:12" ht="14.25" customHeight="1" outlineLevel="1" x14ac:dyDescent="0.25">
      <c r="B24" s="558" t="s">
        <v>727</v>
      </c>
      <c r="C24" s="491">
        <v>822982</v>
      </c>
      <c r="D24" s="491"/>
      <c r="E24" s="491"/>
      <c r="F24" s="491"/>
      <c r="G24" s="491">
        <v>0</v>
      </c>
      <c r="H24" s="491">
        <v>0</v>
      </c>
      <c r="I24" s="491">
        <v>449915</v>
      </c>
      <c r="J24" s="556">
        <f t="shared" si="11"/>
        <v>1272897</v>
      </c>
      <c r="L24" s="370"/>
    </row>
    <row r="25" spans="2:12" ht="14.25" customHeight="1" outlineLevel="1" x14ac:dyDescent="0.25">
      <c r="B25" s="558" t="s">
        <v>226</v>
      </c>
      <c r="C25" s="491">
        <v>385320</v>
      </c>
      <c r="D25" s="491"/>
      <c r="E25" s="491"/>
      <c r="F25" s="491"/>
      <c r="G25" s="491">
        <v>0</v>
      </c>
      <c r="H25" s="491">
        <v>0</v>
      </c>
      <c r="I25" s="491">
        <v>147310</v>
      </c>
      <c r="J25" s="556">
        <f t="shared" si="11"/>
        <v>532630</v>
      </c>
      <c r="L25" s="370"/>
    </row>
    <row r="26" spans="2:12" ht="16.5" customHeight="1" outlineLevel="1" thickBot="1" x14ac:dyDescent="0.25">
      <c r="B26" s="412" t="s">
        <v>728</v>
      </c>
      <c r="C26" s="162">
        <f>C23+C24-C25</f>
        <v>1419519</v>
      </c>
      <c r="D26" s="162">
        <f t="shared" ref="D26:I26" si="12">D23+D24-D25</f>
        <v>0</v>
      </c>
      <c r="E26" s="162">
        <f t="shared" si="12"/>
        <v>0</v>
      </c>
      <c r="F26" s="162">
        <f t="shared" si="12"/>
        <v>0</v>
      </c>
      <c r="G26" s="162">
        <f t="shared" si="12"/>
        <v>150000</v>
      </c>
      <c r="H26" s="162">
        <f t="shared" si="12"/>
        <v>0</v>
      </c>
      <c r="I26" s="162">
        <f t="shared" si="12"/>
        <v>856252</v>
      </c>
      <c r="J26" s="556">
        <f t="shared" si="11"/>
        <v>2425771</v>
      </c>
    </row>
    <row r="27" spans="2:12" ht="10.8" outlineLevel="1" thickTop="1" x14ac:dyDescent="0.2">
      <c r="B27" s="57" t="s">
        <v>884</v>
      </c>
      <c r="C27" s="90">
        <f>C80+C81</f>
        <v>3971139</v>
      </c>
      <c r="D27" s="90">
        <f t="shared" ref="D27:I27" si="13">D80+D81</f>
        <v>0</v>
      </c>
      <c r="E27" s="90">
        <f t="shared" si="13"/>
        <v>0</v>
      </c>
      <c r="F27" s="90">
        <f t="shared" si="13"/>
        <v>0</v>
      </c>
      <c r="G27" s="90">
        <f t="shared" si="13"/>
        <v>4949519</v>
      </c>
      <c r="H27" s="90">
        <f t="shared" si="13"/>
        <v>0</v>
      </c>
      <c r="I27" s="90">
        <f t="shared" si="13"/>
        <v>0</v>
      </c>
      <c r="J27" s="127">
        <f>SUM(C27:I27)</f>
        <v>8920658</v>
      </c>
    </row>
    <row r="28" spans="2:12" hidden="1" outlineLevel="1" x14ac:dyDescent="0.2">
      <c r="B28" s="504" t="s">
        <v>697</v>
      </c>
      <c r="C28" s="90">
        <v>0</v>
      </c>
      <c r="D28" s="90"/>
      <c r="E28" s="90"/>
      <c r="F28" s="90"/>
      <c r="G28" s="90">
        <v>0</v>
      </c>
      <c r="H28" s="127">
        <v>0</v>
      </c>
      <c r="I28" s="127">
        <v>0</v>
      </c>
      <c r="J28" s="127">
        <f t="shared" ref="J28:J30" si="14">SUM(C28:I28)</f>
        <v>0</v>
      </c>
    </row>
    <row r="29" spans="2:12" ht="20.399999999999999" hidden="1" outlineLevel="1" x14ac:dyDescent="0.2">
      <c r="B29" s="438" t="s">
        <v>885</v>
      </c>
      <c r="C29" s="90">
        <f>C28+C27</f>
        <v>3971139</v>
      </c>
      <c r="D29" s="90">
        <f t="shared" ref="D29:I29" si="15">D28+D27</f>
        <v>0</v>
      </c>
      <c r="E29" s="90">
        <f t="shared" si="15"/>
        <v>0</v>
      </c>
      <c r="F29" s="90">
        <f t="shared" si="15"/>
        <v>0</v>
      </c>
      <c r="G29" s="90">
        <f t="shared" si="15"/>
        <v>4949519</v>
      </c>
      <c r="H29" s="90">
        <f t="shared" si="15"/>
        <v>0</v>
      </c>
      <c r="I29" s="90">
        <f t="shared" si="15"/>
        <v>0</v>
      </c>
      <c r="J29" s="127">
        <f t="shared" si="14"/>
        <v>8920658</v>
      </c>
      <c r="K29" s="370"/>
    </row>
    <row r="30" spans="2:12" s="88" customFormat="1" outlineLevel="1" x14ac:dyDescent="0.2">
      <c r="B30" s="211" t="s">
        <v>101</v>
      </c>
      <c r="C30" s="209">
        <f>SUM(C31:C33)</f>
        <v>2326841</v>
      </c>
      <c r="D30" s="209">
        <f t="shared" ref="D30:H30" si="16">SUM(D31:D33)</f>
        <v>0</v>
      </c>
      <c r="E30" s="209">
        <f t="shared" si="16"/>
        <v>0</v>
      </c>
      <c r="F30" s="209">
        <f t="shared" si="16"/>
        <v>0</v>
      </c>
      <c r="G30" s="209">
        <f t="shared" si="16"/>
        <v>672496</v>
      </c>
      <c r="H30" s="228">
        <f t="shared" si="16"/>
        <v>0</v>
      </c>
      <c r="I30" s="228">
        <v>0</v>
      </c>
      <c r="J30" s="127">
        <f t="shared" si="14"/>
        <v>2999337</v>
      </c>
      <c r="K30" s="559"/>
    </row>
    <row r="31" spans="2:12" outlineLevel="1" x14ac:dyDescent="0.2">
      <c r="B31" s="323" t="s">
        <v>163</v>
      </c>
      <c r="C31" s="207">
        <v>2326841</v>
      </c>
      <c r="D31" s="207"/>
      <c r="E31" s="207"/>
      <c r="F31" s="207"/>
      <c r="G31" s="207">
        <v>672496</v>
      </c>
      <c r="H31" s="225">
        <v>0</v>
      </c>
      <c r="I31" s="225">
        <v>0</v>
      </c>
      <c r="J31" s="225">
        <f>SUM(C31:I32)</f>
        <v>2999337</v>
      </c>
      <c r="K31" s="370"/>
      <c r="L31" s="370"/>
    </row>
    <row r="32" spans="2:12" hidden="1" outlineLevel="1" x14ac:dyDescent="0.2">
      <c r="B32" s="323" t="s">
        <v>159</v>
      </c>
      <c r="C32" s="207"/>
      <c r="D32" s="207"/>
      <c r="E32" s="207"/>
      <c r="F32" s="207"/>
      <c r="G32" s="207"/>
      <c r="H32" s="225"/>
      <c r="I32" s="225"/>
      <c r="J32" s="225">
        <f t="shared" ref="J32" si="17">SUM(C32:I33)</f>
        <v>0</v>
      </c>
    </row>
    <row r="33" spans="2:16" hidden="1" outlineLevel="1" x14ac:dyDescent="0.2">
      <c r="B33" s="323" t="s">
        <v>509</v>
      </c>
      <c r="C33" s="207">
        <v>0</v>
      </c>
      <c r="D33" s="207">
        <v>0</v>
      </c>
      <c r="E33" s="207">
        <v>0</v>
      </c>
      <c r="F33" s="207">
        <v>0</v>
      </c>
      <c r="G33" s="207">
        <v>0</v>
      </c>
      <c r="H33" s="225">
        <v>0</v>
      </c>
      <c r="I33" s="225">
        <v>0</v>
      </c>
      <c r="J33" s="225">
        <f>SUM(C33:I33)</f>
        <v>0</v>
      </c>
      <c r="L33" s="370"/>
    </row>
    <row r="34" spans="2:16" s="88" customFormat="1" outlineLevel="1" x14ac:dyDescent="0.2">
      <c r="B34" s="211" t="s">
        <v>100</v>
      </c>
      <c r="C34" s="209">
        <f t="shared" ref="C34:H34" si="18">SUM(C35:C38)</f>
        <v>236719</v>
      </c>
      <c r="D34" s="209">
        <f t="shared" si="18"/>
        <v>0</v>
      </c>
      <c r="E34" s="209">
        <f t="shared" si="18"/>
        <v>0</v>
      </c>
      <c r="F34" s="209">
        <f t="shared" si="18"/>
        <v>0</v>
      </c>
      <c r="G34" s="209">
        <f t="shared" si="18"/>
        <v>0</v>
      </c>
      <c r="H34" s="228">
        <f t="shared" si="18"/>
        <v>0</v>
      </c>
      <c r="I34" s="228">
        <v>0</v>
      </c>
      <c r="J34" s="127">
        <f t="shared" ref="J34" si="19">SUM(C34:I34)</f>
        <v>236719</v>
      </c>
    </row>
    <row r="35" spans="2:16" hidden="1" outlineLevel="1" x14ac:dyDescent="0.2">
      <c r="B35" s="323" t="s">
        <v>160</v>
      </c>
      <c r="C35" s="207">
        <v>0</v>
      </c>
      <c r="D35" s="207">
        <v>0</v>
      </c>
      <c r="E35" s="207">
        <v>0</v>
      </c>
      <c r="F35" s="207">
        <v>0</v>
      </c>
      <c r="G35" s="207">
        <v>0</v>
      </c>
      <c r="H35" s="225">
        <v>0</v>
      </c>
      <c r="I35" s="225"/>
      <c r="J35" s="225">
        <f>SUM(C35:H35)</f>
        <v>0</v>
      </c>
    </row>
    <row r="36" spans="2:16" outlineLevel="1" x14ac:dyDescent="0.2">
      <c r="B36" s="323" t="s">
        <v>160</v>
      </c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25">
        <v>0</v>
      </c>
      <c r="I36" s="225">
        <v>0</v>
      </c>
      <c r="J36" s="225">
        <f>SUM(C36:I37)</f>
        <v>232827</v>
      </c>
    </row>
    <row r="37" spans="2:16" outlineLevel="1" x14ac:dyDescent="0.2">
      <c r="B37" s="323" t="s">
        <v>695</v>
      </c>
      <c r="C37" s="207">
        <v>232827</v>
      </c>
      <c r="D37" s="207"/>
      <c r="E37" s="207"/>
      <c r="F37" s="207"/>
      <c r="G37" s="207">
        <v>0</v>
      </c>
      <c r="H37" s="225">
        <v>0</v>
      </c>
      <c r="I37" s="225">
        <v>0</v>
      </c>
      <c r="J37" s="225">
        <f t="shared" ref="J37" si="20">SUM(C37:I38)</f>
        <v>236719</v>
      </c>
    </row>
    <row r="38" spans="2:16" outlineLevel="1" x14ac:dyDescent="0.2">
      <c r="B38" s="323" t="s">
        <v>509</v>
      </c>
      <c r="C38" s="207">
        <v>3892</v>
      </c>
      <c r="D38" s="207"/>
      <c r="E38" s="207"/>
      <c r="F38" s="207"/>
      <c r="G38" s="207">
        <v>0</v>
      </c>
      <c r="H38" s="225">
        <v>0</v>
      </c>
      <c r="I38" s="225">
        <v>0</v>
      </c>
      <c r="J38" s="225">
        <f>SUM(C38:I38)</f>
        <v>3892</v>
      </c>
    </row>
    <row r="39" spans="2:16" ht="10.8" outlineLevel="1" thickBot="1" x14ac:dyDescent="0.25">
      <c r="B39" s="57" t="s">
        <v>886</v>
      </c>
      <c r="C39" s="162">
        <f>C29+C30-C34</f>
        <v>6061261</v>
      </c>
      <c r="D39" s="162">
        <f t="shared" ref="D39:I39" si="21">D29+D30-D34</f>
        <v>0</v>
      </c>
      <c r="E39" s="162">
        <f t="shared" si="21"/>
        <v>0</v>
      </c>
      <c r="F39" s="162">
        <f t="shared" si="21"/>
        <v>0</v>
      </c>
      <c r="G39" s="162">
        <f>G29+G30-G34</f>
        <v>5622015</v>
      </c>
      <c r="H39" s="162">
        <f>H29+H30-H34</f>
        <v>0</v>
      </c>
      <c r="I39" s="162">
        <f t="shared" si="21"/>
        <v>0</v>
      </c>
      <c r="J39" s="360">
        <f>J29+J30-J34</f>
        <v>11683276</v>
      </c>
    </row>
    <row r="40" spans="2:16" ht="11.4" hidden="1" outlineLevel="1" thickTop="1" thickBot="1" x14ac:dyDescent="0.25">
      <c r="B40" s="505" t="s">
        <v>729</v>
      </c>
      <c r="C40" s="313">
        <v>0</v>
      </c>
      <c r="D40" s="313"/>
      <c r="E40" s="313"/>
      <c r="F40" s="313"/>
      <c r="G40" s="313">
        <v>0</v>
      </c>
      <c r="H40" s="560">
        <v>0</v>
      </c>
      <c r="I40" s="560">
        <v>0</v>
      </c>
      <c r="J40" s="560">
        <f>SUM(C40:I40)</f>
        <v>0</v>
      </c>
      <c r="M40" s="370"/>
    </row>
    <row r="41" spans="2:16" ht="11.4" outlineLevel="1" thickTop="1" thickBot="1" x14ac:dyDescent="0.25">
      <c r="B41" s="412" t="s">
        <v>887</v>
      </c>
      <c r="C41" s="313">
        <f>C20-C39-C26-C40</f>
        <v>2853801</v>
      </c>
      <c r="D41" s="313">
        <f t="shared" ref="D41:I41" si="22">D20-D39-D26-D40</f>
        <v>0</v>
      </c>
      <c r="E41" s="313">
        <f t="shared" si="22"/>
        <v>0</v>
      </c>
      <c r="F41" s="313">
        <f t="shared" si="22"/>
        <v>0</v>
      </c>
      <c r="G41" s="313">
        <f t="shared" si="22"/>
        <v>9484661</v>
      </c>
      <c r="H41" s="313">
        <f t="shared" si="22"/>
        <v>106881</v>
      </c>
      <c r="I41" s="313">
        <f t="shared" si="22"/>
        <v>3106705</v>
      </c>
      <c r="J41" s="313">
        <f>J20-J39-J26-J40</f>
        <v>15552048</v>
      </c>
      <c r="M41" s="370"/>
    </row>
    <row r="42" spans="2:16" s="88" customFormat="1" ht="10.8" outlineLevel="1" thickTop="1" x14ac:dyDescent="0.2">
      <c r="B42" s="3"/>
      <c r="C42" s="543"/>
      <c r="D42" s="543"/>
      <c r="E42" s="543"/>
      <c r="F42" s="543"/>
      <c r="G42" s="543"/>
      <c r="H42" s="137"/>
      <c r="I42" s="137"/>
      <c r="J42" s="314">
        <f>J41-Aktywa!D5</f>
        <v>0</v>
      </c>
      <c r="K42" s="559"/>
      <c r="M42" s="559"/>
    </row>
    <row r="43" spans="2:16" outlineLevel="1" x14ac:dyDescent="0.2">
      <c r="B43" s="3"/>
      <c r="H43" s="321"/>
      <c r="I43" s="321"/>
    </row>
    <row r="44" spans="2:16" outlineLevel="1" x14ac:dyDescent="0.2">
      <c r="B44" s="52" t="s">
        <v>772</v>
      </c>
      <c r="H44" s="137"/>
      <c r="I44" s="137"/>
    </row>
    <row r="45" spans="2:16" s="88" customFormat="1" outlineLevel="1" x14ac:dyDescent="0.2">
      <c r="B45" s="52"/>
      <c r="C45" s="543"/>
      <c r="D45" s="543"/>
      <c r="E45" s="543"/>
      <c r="F45" s="543"/>
      <c r="G45" s="543"/>
      <c r="H45" s="137"/>
      <c r="I45" s="137"/>
      <c r="J45" s="543"/>
    </row>
    <row r="46" spans="2:16" ht="30.6" outlineLevel="1" x14ac:dyDescent="0.2">
      <c r="B46" s="71" t="s">
        <v>316</v>
      </c>
      <c r="C46" s="550" t="s">
        <v>166</v>
      </c>
      <c r="D46" s="71" t="s">
        <v>167</v>
      </c>
      <c r="E46" s="550" t="s">
        <v>168</v>
      </c>
      <c r="F46" s="71" t="s">
        <v>169</v>
      </c>
      <c r="G46" s="665" t="s">
        <v>659</v>
      </c>
      <c r="H46" s="550" t="s">
        <v>232</v>
      </c>
      <c r="I46" s="550" t="s">
        <v>725</v>
      </c>
      <c r="J46" s="550" t="s">
        <v>376</v>
      </c>
      <c r="L46" s="561"/>
      <c r="M46" s="561"/>
      <c r="N46" s="561"/>
      <c r="O46" s="561"/>
      <c r="P46" s="561"/>
    </row>
    <row r="47" spans="2:16" outlineLevel="1" x14ac:dyDescent="0.2">
      <c r="B47" s="341" t="s">
        <v>773</v>
      </c>
      <c r="C47" s="342">
        <v>9345107</v>
      </c>
      <c r="D47" s="342">
        <v>0</v>
      </c>
      <c r="E47" s="342">
        <v>0</v>
      </c>
      <c r="F47" s="342"/>
      <c r="G47" s="342">
        <v>15230638</v>
      </c>
      <c r="H47" s="342">
        <v>0</v>
      </c>
      <c r="I47" s="342">
        <v>1983537</v>
      </c>
      <c r="J47" s="361">
        <f>SUM(C47:I47)</f>
        <v>26559282</v>
      </c>
      <c r="L47" s="561"/>
      <c r="M47" s="561"/>
      <c r="N47" s="561"/>
      <c r="O47" s="561"/>
      <c r="P47" s="561"/>
    </row>
    <row r="48" spans="2:16" s="575" customFormat="1" hidden="1" outlineLevel="1" x14ac:dyDescent="0.2">
      <c r="B48" s="504" t="s">
        <v>697</v>
      </c>
      <c r="C48" s="342">
        <v>0</v>
      </c>
      <c r="D48" s="342"/>
      <c r="E48" s="342"/>
      <c r="F48" s="342"/>
      <c r="G48" s="342">
        <v>0</v>
      </c>
      <c r="H48" s="342">
        <v>0</v>
      </c>
      <c r="I48" s="342">
        <v>0</v>
      </c>
      <c r="J48" s="361">
        <f t="shared" ref="J48:J49" si="23">SUM(C48:I48)</f>
        <v>0</v>
      </c>
      <c r="L48" s="561"/>
      <c r="M48" s="561"/>
      <c r="N48" s="561"/>
      <c r="O48" s="561"/>
      <c r="P48" s="561"/>
    </row>
    <row r="49" spans="2:16" s="575" customFormat="1" ht="20.399999999999999" hidden="1" outlineLevel="1" x14ac:dyDescent="0.2">
      <c r="B49" s="438" t="s">
        <v>766</v>
      </c>
      <c r="C49" s="342">
        <f>C47+C48</f>
        <v>9345107</v>
      </c>
      <c r="D49" s="342">
        <f t="shared" ref="D49:I49" si="24">D47+D48</f>
        <v>0</v>
      </c>
      <c r="E49" s="342">
        <f t="shared" si="24"/>
        <v>0</v>
      </c>
      <c r="F49" s="342">
        <f t="shared" si="24"/>
        <v>0</v>
      </c>
      <c r="G49" s="342">
        <f t="shared" si="24"/>
        <v>15230638</v>
      </c>
      <c r="H49" s="342">
        <f t="shared" si="24"/>
        <v>0</v>
      </c>
      <c r="I49" s="342">
        <f t="shared" si="24"/>
        <v>1983537</v>
      </c>
      <c r="J49" s="361">
        <f t="shared" si="23"/>
        <v>26559282</v>
      </c>
      <c r="L49" s="561"/>
      <c r="M49" s="561"/>
      <c r="N49" s="561"/>
      <c r="O49" s="561"/>
      <c r="P49" s="561"/>
    </row>
    <row r="50" spans="2:16" outlineLevel="1" x14ac:dyDescent="0.2">
      <c r="B50" s="211" t="s">
        <v>101</v>
      </c>
      <c r="C50" s="209">
        <f t="shared" ref="C50:I50" si="25">SUM(C51:C54)</f>
        <v>1980628</v>
      </c>
      <c r="D50" s="209">
        <f t="shared" si="25"/>
        <v>0</v>
      </c>
      <c r="E50" s="209">
        <f t="shared" si="25"/>
        <v>0</v>
      </c>
      <c r="F50" s="209">
        <f t="shared" si="25"/>
        <v>0</v>
      </c>
      <c r="G50" s="209">
        <f t="shared" si="25"/>
        <v>672222</v>
      </c>
      <c r="H50" s="209">
        <f t="shared" si="25"/>
        <v>16900</v>
      </c>
      <c r="I50" s="209">
        <f t="shared" si="25"/>
        <v>2001127</v>
      </c>
      <c r="J50" s="228">
        <f>SUM(J51:J54)</f>
        <v>4670877</v>
      </c>
    </row>
    <row r="51" spans="2:16" outlineLevel="1" x14ac:dyDescent="0.2">
      <c r="B51" s="323" t="s">
        <v>441</v>
      </c>
      <c r="C51" s="207">
        <v>0</v>
      </c>
      <c r="D51" s="207">
        <v>0</v>
      </c>
      <c r="E51" s="207">
        <v>0</v>
      </c>
      <c r="F51" s="207">
        <v>0</v>
      </c>
      <c r="G51" s="207">
        <v>672222</v>
      </c>
      <c r="H51" s="225">
        <v>16900</v>
      </c>
      <c r="I51" s="225">
        <v>147310</v>
      </c>
      <c r="J51" s="225">
        <f>SUM(C51:I51)</f>
        <v>836432</v>
      </c>
    </row>
    <row r="52" spans="2:16" ht="24" hidden="1" customHeight="1" outlineLevel="1" x14ac:dyDescent="0.2">
      <c r="B52" s="362" t="s">
        <v>159</v>
      </c>
      <c r="C52" s="207"/>
      <c r="D52" s="207"/>
      <c r="E52" s="207"/>
      <c r="F52" s="207"/>
      <c r="G52" s="207"/>
      <c r="H52" s="225"/>
      <c r="I52" s="225"/>
      <c r="J52" s="225">
        <f>SUM(C52:H52)</f>
        <v>0</v>
      </c>
    </row>
    <row r="53" spans="2:16" outlineLevel="1" x14ac:dyDescent="0.2">
      <c r="B53" s="362" t="s">
        <v>776</v>
      </c>
      <c r="C53" s="207">
        <v>1980628</v>
      </c>
      <c r="D53" s="207">
        <v>0</v>
      </c>
      <c r="E53" s="207">
        <v>0</v>
      </c>
      <c r="F53" s="207">
        <v>0</v>
      </c>
      <c r="G53" s="207">
        <v>0</v>
      </c>
      <c r="H53" s="225">
        <v>0</v>
      </c>
      <c r="I53" s="225">
        <v>1853817</v>
      </c>
      <c r="J53" s="225">
        <f>SUM(C53:I53)</f>
        <v>3834445</v>
      </c>
    </row>
    <row r="54" spans="2:16" x14ac:dyDescent="0.2">
      <c r="B54" s="323" t="s">
        <v>509</v>
      </c>
      <c r="C54" s="207">
        <v>0</v>
      </c>
      <c r="D54" s="207">
        <v>0</v>
      </c>
      <c r="E54" s="207">
        <v>0</v>
      </c>
      <c r="F54" s="207"/>
      <c r="G54" s="207">
        <v>0</v>
      </c>
      <c r="H54" s="225">
        <v>0</v>
      </c>
      <c r="I54" s="225">
        <v>0</v>
      </c>
      <c r="J54" s="225">
        <f>SUM(C54:I54)</f>
        <v>0</v>
      </c>
    </row>
    <row r="55" spans="2:16" x14ac:dyDescent="0.2">
      <c r="B55" s="211" t="s">
        <v>100</v>
      </c>
      <c r="C55" s="209">
        <f>SUM(C56:C60)</f>
        <v>325929</v>
      </c>
      <c r="D55" s="209">
        <f t="shared" ref="D55:I55" si="26">SUM(D56:D60)</f>
        <v>0</v>
      </c>
      <c r="E55" s="209">
        <f t="shared" si="26"/>
        <v>0</v>
      </c>
      <c r="F55" s="209">
        <f t="shared" si="26"/>
        <v>0</v>
      </c>
      <c r="G55" s="209">
        <f t="shared" si="26"/>
        <v>939683</v>
      </c>
      <c r="H55" s="209">
        <f t="shared" si="26"/>
        <v>0</v>
      </c>
      <c r="I55" s="209">
        <f t="shared" si="26"/>
        <v>2002116</v>
      </c>
      <c r="J55" s="228">
        <f t="shared" ref="J55" si="27">SUM(J57:J60)</f>
        <v>1237326</v>
      </c>
    </row>
    <row r="56" spans="2:16" s="575" customFormat="1" x14ac:dyDescent="0.2">
      <c r="B56" s="362" t="s">
        <v>777</v>
      </c>
      <c r="C56" s="207">
        <v>0</v>
      </c>
      <c r="D56" s="207"/>
      <c r="E56" s="207"/>
      <c r="F56" s="207"/>
      <c r="G56" s="207">
        <v>0</v>
      </c>
      <c r="H56" s="228">
        <v>0</v>
      </c>
      <c r="I56" s="225">
        <v>1980628</v>
      </c>
      <c r="J56" s="225">
        <f>SUM(G56:I56)</f>
        <v>1980628</v>
      </c>
    </row>
    <row r="57" spans="2:16" x14ac:dyDescent="0.2">
      <c r="B57" s="323" t="s">
        <v>160</v>
      </c>
      <c r="C57" s="207">
        <v>49774</v>
      </c>
      <c r="D57" s="207">
        <v>0</v>
      </c>
      <c r="E57" s="207">
        <v>0</v>
      </c>
      <c r="F57" s="207">
        <v>0</v>
      </c>
      <c r="G57" s="207">
        <v>82914</v>
      </c>
      <c r="H57" s="225">
        <v>0</v>
      </c>
      <c r="I57" s="225">
        <v>0</v>
      </c>
      <c r="J57" s="225">
        <f t="shared" ref="J57:J58" si="28">SUM(G57:I57)</f>
        <v>82914</v>
      </c>
    </row>
    <row r="58" spans="2:16" x14ac:dyDescent="0.2">
      <c r="B58" s="362" t="s">
        <v>509</v>
      </c>
      <c r="C58" s="207">
        <v>0</v>
      </c>
      <c r="D58" s="207">
        <v>0</v>
      </c>
      <c r="E58" s="207">
        <v>0</v>
      </c>
      <c r="F58" s="207">
        <v>0</v>
      </c>
      <c r="G58" s="207">
        <v>222810</v>
      </c>
      <c r="H58" s="225">
        <v>0</v>
      </c>
      <c r="I58" s="225">
        <v>0</v>
      </c>
      <c r="J58" s="225">
        <f t="shared" si="28"/>
        <v>222810</v>
      </c>
    </row>
    <row r="59" spans="2:16" s="106" customFormat="1" outlineLevel="1" x14ac:dyDescent="0.2">
      <c r="B59" s="666" t="s">
        <v>920</v>
      </c>
      <c r="C59" s="207">
        <f>22320+389369-135534</f>
        <v>276155</v>
      </c>
      <c r="D59" s="207"/>
      <c r="E59" s="207"/>
      <c r="F59" s="207"/>
      <c r="G59" s="207">
        <f>1210985-389369-187657</f>
        <v>633959</v>
      </c>
      <c r="H59" s="225">
        <v>0</v>
      </c>
      <c r="I59" s="225">
        <v>21488</v>
      </c>
      <c r="J59" s="225">
        <f t="shared" ref="J59:J60" si="29">SUM(C59:I59)</f>
        <v>931602</v>
      </c>
    </row>
    <row r="60" spans="2:16" ht="14.25" hidden="1" customHeight="1" outlineLevel="1" x14ac:dyDescent="0.2">
      <c r="B60" s="323" t="s">
        <v>509</v>
      </c>
      <c r="C60" s="207"/>
      <c r="D60" s="207"/>
      <c r="E60" s="207"/>
      <c r="F60" s="207"/>
      <c r="G60" s="207"/>
      <c r="H60" s="225"/>
      <c r="I60" s="225"/>
      <c r="J60" s="225">
        <f t="shared" si="29"/>
        <v>0</v>
      </c>
    </row>
    <row r="61" spans="2:16" ht="10.8" outlineLevel="1" thickBot="1" x14ac:dyDescent="0.25">
      <c r="B61" s="341" t="s">
        <v>903</v>
      </c>
      <c r="C61" s="162">
        <f>C49+C50-C55</f>
        <v>10999806</v>
      </c>
      <c r="D61" s="162">
        <f t="shared" ref="D61:I61" si="30">D49+D50-D55</f>
        <v>0</v>
      </c>
      <c r="E61" s="162">
        <f t="shared" si="30"/>
        <v>0</v>
      </c>
      <c r="F61" s="162">
        <f t="shared" si="30"/>
        <v>0</v>
      </c>
      <c r="G61" s="162">
        <f t="shared" si="30"/>
        <v>14963177</v>
      </c>
      <c r="H61" s="162">
        <f t="shared" si="30"/>
        <v>16900</v>
      </c>
      <c r="I61" s="162">
        <f t="shared" si="30"/>
        <v>1982548</v>
      </c>
      <c r="J61" s="360">
        <f>SUM(C61:I61)</f>
        <v>27962431</v>
      </c>
      <c r="K61" s="370"/>
    </row>
    <row r="62" spans="2:16" s="575" customFormat="1" ht="10.8" outlineLevel="1" thickTop="1" x14ac:dyDescent="0.2">
      <c r="B62" s="341" t="s">
        <v>774</v>
      </c>
      <c r="C62" s="367">
        <v>596537</v>
      </c>
      <c r="D62" s="367"/>
      <c r="E62" s="367"/>
      <c r="F62" s="367"/>
      <c r="G62" s="367">
        <v>150000</v>
      </c>
      <c r="H62" s="367">
        <v>0</v>
      </c>
      <c r="I62" s="367">
        <v>406337</v>
      </c>
      <c r="J62" s="556">
        <f>SUM(C62:I62)</f>
        <v>1152874</v>
      </c>
      <c r="K62" s="370"/>
    </row>
    <row r="63" spans="2:16" s="575" customFormat="1" hidden="1" outlineLevel="1" x14ac:dyDescent="0.2">
      <c r="B63" s="504" t="s">
        <v>697</v>
      </c>
      <c r="C63" s="491">
        <v>0</v>
      </c>
      <c r="D63" s="491"/>
      <c r="E63" s="491"/>
      <c r="F63" s="491"/>
      <c r="G63" s="491">
        <v>0</v>
      </c>
      <c r="H63" s="491">
        <v>0</v>
      </c>
      <c r="I63" s="491">
        <v>0</v>
      </c>
      <c r="J63" s="225">
        <f>SUM(C63:I63)</f>
        <v>0</v>
      </c>
      <c r="K63" s="370"/>
    </row>
    <row r="64" spans="2:16" s="575" customFormat="1" ht="20.399999999999999" hidden="1" outlineLevel="1" x14ac:dyDescent="0.2">
      <c r="B64" s="341" t="s">
        <v>775</v>
      </c>
      <c r="C64" s="367">
        <f>C62+C63</f>
        <v>596537</v>
      </c>
      <c r="D64" s="367">
        <f t="shared" ref="D64:I64" si="31">D62+D63</f>
        <v>0</v>
      </c>
      <c r="E64" s="367">
        <f t="shared" si="31"/>
        <v>0</v>
      </c>
      <c r="F64" s="367">
        <f t="shared" si="31"/>
        <v>0</v>
      </c>
      <c r="G64" s="367">
        <f t="shared" si="31"/>
        <v>150000</v>
      </c>
      <c r="H64" s="367">
        <f t="shared" si="31"/>
        <v>0</v>
      </c>
      <c r="I64" s="367">
        <f t="shared" si="31"/>
        <v>406337</v>
      </c>
      <c r="J64" s="367">
        <f>SUM(C64:I64)</f>
        <v>1152874</v>
      </c>
      <c r="K64" s="370"/>
    </row>
    <row r="65" spans="2:13" s="575" customFormat="1" outlineLevel="1" x14ac:dyDescent="0.2">
      <c r="B65" s="576" t="s">
        <v>778</v>
      </c>
      <c r="C65" s="491">
        <v>385320</v>
      </c>
      <c r="D65" s="491"/>
      <c r="E65" s="491"/>
      <c r="F65" s="491"/>
      <c r="G65" s="491">
        <v>0</v>
      </c>
      <c r="H65" s="491">
        <v>0</v>
      </c>
      <c r="I65" s="491">
        <v>147310</v>
      </c>
      <c r="J65" s="225">
        <f t="shared" ref="J65:J66" si="32">SUM(C65:I65)</f>
        <v>532630</v>
      </c>
      <c r="K65" s="370"/>
    </row>
    <row r="66" spans="2:13" s="575" customFormat="1" outlineLevel="1" x14ac:dyDescent="0.2">
      <c r="B66" s="576" t="s">
        <v>724</v>
      </c>
      <c r="C66" s="491">
        <v>0</v>
      </c>
      <c r="D66" s="491"/>
      <c r="E66" s="491"/>
      <c r="F66" s="491"/>
      <c r="G66" s="491">
        <v>0</v>
      </c>
      <c r="H66" s="491">
        <v>0</v>
      </c>
      <c r="I66" s="491">
        <v>0</v>
      </c>
      <c r="J66" s="225">
        <f t="shared" si="32"/>
        <v>0</v>
      </c>
      <c r="K66" s="370"/>
    </row>
    <row r="67" spans="2:13" s="575" customFormat="1" outlineLevel="1" x14ac:dyDescent="0.2">
      <c r="B67" s="341" t="s">
        <v>904</v>
      </c>
      <c r="C67" s="367">
        <f>C64+C65-C66</f>
        <v>981857</v>
      </c>
      <c r="D67" s="367">
        <f t="shared" ref="D67:I67" si="33">D64+D65-D66</f>
        <v>0</v>
      </c>
      <c r="E67" s="367">
        <f t="shared" si="33"/>
        <v>0</v>
      </c>
      <c r="F67" s="367">
        <f t="shared" si="33"/>
        <v>0</v>
      </c>
      <c r="G67" s="367">
        <f t="shared" si="33"/>
        <v>150000</v>
      </c>
      <c r="H67" s="367">
        <f t="shared" si="33"/>
        <v>0</v>
      </c>
      <c r="I67" s="367">
        <f t="shared" si="33"/>
        <v>553647</v>
      </c>
      <c r="J67" s="367">
        <f>SUM(C67:I67)</f>
        <v>1685504</v>
      </c>
      <c r="K67" s="370"/>
    </row>
    <row r="68" spans="2:13" outlineLevel="1" x14ac:dyDescent="0.2">
      <c r="B68" s="57" t="s">
        <v>768</v>
      </c>
      <c r="C68" s="90">
        <v>2032183</v>
      </c>
      <c r="D68" s="90">
        <v>0</v>
      </c>
      <c r="E68" s="90">
        <v>0</v>
      </c>
      <c r="F68" s="90"/>
      <c r="G68" s="90">
        <v>4494857</v>
      </c>
      <c r="H68" s="127">
        <v>0</v>
      </c>
      <c r="I68" s="127">
        <v>0</v>
      </c>
      <c r="J68" s="127">
        <f>SUM(C68:I68)</f>
        <v>6527040</v>
      </c>
    </row>
    <row r="69" spans="2:13" s="575" customFormat="1" hidden="1" outlineLevel="1" x14ac:dyDescent="0.2">
      <c r="B69" s="504" t="s">
        <v>697</v>
      </c>
      <c r="C69" s="90">
        <v>0</v>
      </c>
      <c r="D69" s="90"/>
      <c r="E69" s="90"/>
      <c r="F69" s="90"/>
      <c r="G69" s="90">
        <v>0</v>
      </c>
      <c r="H69" s="127">
        <v>0</v>
      </c>
      <c r="I69" s="127">
        <v>0</v>
      </c>
      <c r="J69" s="127">
        <f>SUM(C69:I69)</f>
        <v>0</v>
      </c>
    </row>
    <row r="70" spans="2:13" s="575" customFormat="1" ht="20.399999999999999" hidden="1" outlineLevel="1" x14ac:dyDescent="0.2">
      <c r="B70" s="438" t="s">
        <v>769</v>
      </c>
      <c r="C70" s="90">
        <f>C68+C69</f>
        <v>2032183</v>
      </c>
      <c r="D70" s="90">
        <f t="shared" ref="D70:I70" si="34">D68+D69</f>
        <v>0</v>
      </c>
      <c r="E70" s="90">
        <f t="shared" si="34"/>
        <v>0</v>
      </c>
      <c r="F70" s="90">
        <f t="shared" si="34"/>
        <v>0</v>
      </c>
      <c r="G70" s="90">
        <f t="shared" si="34"/>
        <v>4494857</v>
      </c>
      <c r="H70" s="90">
        <f t="shared" si="34"/>
        <v>0</v>
      </c>
      <c r="I70" s="90">
        <f t="shared" si="34"/>
        <v>0</v>
      </c>
      <c r="J70" s="127">
        <f>SUM(C70:I70)</f>
        <v>6527040</v>
      </c>
    </row>
    <row r="71" spans="2:13" outlineLevel="1" x14ac:dyDescent="0.2">
      <c r="B71" s="211" t="s">
        <v>101</v>
      </c>
      <c r="C71" s="209">
        <f t="shared" ref="C71:J71" si="35">SUM(C72:C74)</f>
        <v>1990218</v>
      </c>
      <c r="D71" s="209">
        <f t="shared" si="35"/>
        <v>0</v>
      </c>
      <c r="E71" s="209">
        <f t="shared" si="35"/>
        <v>0</v>
      </c>
      <c r="F71" s="209">
        <f t="shared" si="35"/>
        <v>0</v>
      </c>
      <c r="G71" s="209">
        <f t="shared" si="35"/>
        <v>1076192</v>
      </c>
      <c r="H71" s="228">
        <f t="shared" si="35"/>
        <v>0</v>
      </c>
      <c r="I71" s="228">
        <v>0</v>
      </c>
      <c r="J71" s="228">
        <f t="shared" si="35"/>
        <v>3066410</v>
      </c>
    </row>
    <row r="72" spans="2:13" outlineLevel="1" x14ac:dyDescent="0.2">
      <c r="B72" s="323" t="s">
        <v>163</v>
      </c>
      <c r="C72" s="207">
        <v>1990218</v>
      </c>
      <c r="D72" s="207">
        <v>0</v>
      </c>
      <c r="E72" s="207">
        <v>0</v>
      </c>
      <c r="F72" s="207">
        <v>0</v>
      </c>
      <c r="G72" s="207">
        <v>1073731</v>
      </c>
      <c r="H72" s="225">
        <v>0</v>
      </c>
      <c r="I72" s="225">
        <v>0</v>
      </c>
      <c r="J72" s="225">
        <f>SUM(C72:I72)</f>
        <v>3063949</v>
      </c>
      <c r="K72" s="370"/>
    </row>
    <row r="73" spans="2:13" hidden="1" outlineLevel="1" x14ac:dyDescent="0.2">
      <c r="B73" s="323" t="s">
        <v>159</v>
      </c>
      <c r="C73" s="207"/>
      <c r="D73" s="207"/>
      <c r="E73" s="207"/>
      <c r="F73" s="207"/>
      <c r="G73" s="207"/>
      <c r="H73" s="225"/>
      <c r="I73" s="225"/>
      <c r="J73" s="225">
        <f>SUM(C73:H73)</f>
        <v>0</v>
      </c>
    </row>
    <row r="74" spans="2:13" ht="10.199999999999999" customHeight="1" outlineLevel="1" x14ac:dyDescent="0.2">
      <c r="B74" s="323" t="s">
        <v>509</v>
      </c>
      <c r="C74" s="207">
        <v>0</v>
      </c>
      <c r="D74" s="207">
        <v>0</v>
      </c>
      <c r="E74" s="207">
        <v>0</v>
      </c>
      <c r="F74" s="207"/>
      <c r="G74" s="207">
        <v>2461</v>
      </c>
      <c r="H74" s="225">
        <v>0</v>
      </c>
      <c r="I74" s="225">
        <v>0</v>
      </c>
      <c r="J74" s="225">
        <f>SUM(C74:I74)</f>
        <v>2461</v>
      </c>
    </row>
    <row r="75" spans="2:13" outlineLevel="1" x14ac:dyDescent="0.2">
      <c r="B75" s="211" t="s">
        <v>100</v>
      </c>
      <c r="C75" s="209">
        <f t="shared" ref="C75:J75" si="36">SUM(C76:C79)</f>
        <v>51262</v>
      </c>
      <c r="D75" s="209">
        <f t="shared" si="36"/>
        <v>0</v>
      </c>
      <c r="E75" s="209">
        <f t="shared" si="36"/>
        <v>0</v>
      </c>
      <c r="F75" s="209">
        <f t="shared" si="36"/>
        <v>0</v>
      </c>
      <c r="G75" s="209">
        <f t="shared" si="36"/>
        <v>621530</v>
      </c>
      <c r="H75" s="228">
        <f t="shared" si="36"/>
        <v>0</v>
      </c>
      <c r="I75" s="228">
        <v>0</v>
      </c>
      <c r="J75" s="228">
        <f t="shared" si="36"/>
        <v>672792</v>
      </c>
    </row>
    <row r="76" spans="2:13" hidden="1" outlineLevel="1" x14ac:dyDescent="0.2">
      <c r="B76" s="323" t="s">
        <v>160</v>
      </c>
      <c r="C76" s="207">
        <v>0</v>
      </c>
      <c r="D76" s="207">
        <v>0</v>
      </c>
      <c r="E76" s="207">
        <v>0</v>
      </c>
      <c r="F76" s="207">
        <v>0</v>
      </c>
      <c r="G76" s="207">
        <v>0</v>
      </c>
      <c r="H76" s="225">
        <v>0</v>
      </c>
      <c r="I76" s="225"/>
      <c r="J76" s="225">
        <f>SUM(C76:H76)</f>
        <v>0</v>
      </c>
    </row>
    <row r="77" spans="2:13" outlineLevel="1" x14ac:dyDescent="0.2">
      <c r="B77" s="323" t="s">
        <v>160</v>
      </c>
      <c r="C77" s="207">
        <v>49774</v>
      </c>
      <c r="D77" s="207">
        <v>0</v>
      </c>
      <c r="E77" s="207">
        <v>0</v>
      </c>
      <c r="F77" s="207">
        <v>0</v>
      </c>
      <c r="G77" s="207">
        <v>303814</v>
      </c>
      <c r="H77" s="225">
        <v>0</v>
      </c>
      <c r="I77" s="225">
        <v>0</v>
      </c>
      <c r="J77" s="225">
        <f>SUM(C77:I77)</f>
        <v>353588</v>
      </c>
    </row>
    <row r="78" spans="2:13" outlineLevel="1" x14ac:dyDescent="0.2">
      <c r="B78" s="666" t="s">
        <v>920</v>
      </c>
      <c r="C78" s="207">
        <v>1488</v>
      </c>
      <c r="D78" s="207"/>
      <c r="E78" s="207"/>
      <c r="F78" s="207"/>
      <c r="G78" s="207">
        <v>317232</v>
      </c>
      <c r="H78" s="225">
        <v>0</v>
      </c>
      <c r="I78" s="225">
        <v>0</v>
      </c>
      <c r="J78" s="225">
        <f>SUM(C78:H78)</f>
        <v>318720</v>
      </c>
    </row>
    <row r="79" spans="2:13" ht="13.95" customHeight="1" outlineLevel="1" x14ac:dyDescent="0.2">
      <c r="B79" s="323" t="s">
        <v>509</v>
      </c>
      <c r="C79" s="207">
        <v>0</v>
      </c>
      <c r="D79" s="207">
        <v>0</v>
      </c>
      <c r="E79" s="207">
        <v>0</v>
      </c>
      <c r="F79" s="207"/>
      <c r="G79" s="207">
        <v>484</v>
      </c>
      <c r="H79" s="225">
        <v>0</v>
      </c>
      <c r="I79" s="225">
        <v>0</v>
      </c>
      <c r="J79" s="225">
        <f>SUM(C79:I79)</f>
        <v>484</v>
      </c>
    </row>
    <row r="80" spans="2:13" ht="10.8" outlineLevel="1" thickBot="1" x14ac:dyDescent="0.25">
      <c r="B80" s="57" t="s">
        <v>770</v>
      </c>
      <c r="C80" s="162">
        <f>C70+C71-C75</f>
        <v>3971139</v>
      </c>
      <c r="D80" s="162">
        <f t="shared" ref="D80:I80" si="37">D70+D71-D75</f>
        <v>0</v>
      </c>
      <c r="E80" s="162">
        <f t="shared" si="37"/>
        <v>0</v>
      </c>
      <c r="F80" s="162">
        <f t="shared" si="37"/>
        <v>0</v>
      </c>
      <c r="G80" s="162">
        <f t="shared" si="37"/>
        <v>4949519</v>
      </c>
      <c r="H80" s="162">
        <f t="shared" si="37"/>
        <v>0</v>
      </c>
      <c r="I80" s="162">
        <f t="shared" si="37"/>
        <v>0</v>
      </c>
      <c r="J80" s="360">
        <f>SUM(C80:I80)</f>
        <v>8920658</v>
      </c>
      <c r="M80" s="370"/>
    </row>
    <row r="81" spans="2:14" s="575" customFormat="1" ht="11.4" hidden="1" outlineLevel="1" thickTop="1" thickBot="1" x14ac:dyDescent="0.25">
      <c r="B81" s="505" t="s">
        <v>729</v>
      </c>
      <c r="C81" s="313">
        <v>0</v>
      </c>
      <c r="D81" s="313"/>
      <c r="E81" s="313"/>
      <c r="F81" s="313"/>
      <c r="G81" s="313">
        <v>0</v>
      </c>
      <c r="H81" s="313">
        <v>0</v>
      </c>
      <c r="I81" s="313">
        <v>0</v>
      </c>
      <c r="J81" s="560">
        <f>SUM(C81:I81)</f>
        <v>0</v>
      </c>
      <c r="M81" s="370"/>
    </row>
    <row r="82" spans="2:14" ht="11.4" outlineLevel="1" thickTop="1" thickBot="1" x14ac:dyDescent="0.25">
      <c r="B82" s="412" t="s">
        <v>771</v>
      </c>
      <c r="C82" s="313">
        <f>C61-C80-C81-C67</f>
        <v>6046810</v>
      </c>
      <c r="D82" s="313">
        <f t="shared" ref="D82:I82" si="38">D61-D80-D81-D67</f>
        <v>0</v>
      </c>
      <c r="E82" s="313">
        <f t="shared" si="38"/>
        <v>0</v>
      </c>
      <c r="F82" s="313">
        <f t="shared" si="38"/>
        <v>0</v>
      </c>
      <c r="G82" s="313">
        <f t="shared" si="38"/>
        <v>9863658</v>
      </c>
      <c r="H82" s="313">
        <f t="shared" si="38"/>
        <v>16900</v>
      </c>
      <c r="I82" s="313">
        <f t="shared" si="38"/>
        <v>1428901</v>
      </c>
      <c r="J82" s="313">
        <f>SUM(C82:I82)</f>
        <v>17356269</v>
      </c>
      <c r="K82" s="370"/>
      <c r="M82" s="370"/>
    </row>
    <row r="83" spans="2:14" ht="10.8" outlineLevel="1" thickTop="1" x14ac:dyDescent="0.2">
      <c r="C83" s="107"/>
      <c r="D83" s="107"/>
      <c r="E83" s="107"/>
      <c r="F83" s="546"/>
      <c r="H83" s="137"/>
      <c r="I83" s="137"/>
      <c r="J83" s="314">
        <f>J82-Aktywa!E5</f>
        <v>0</v>
      </c>
      <c r="K83" s="370"/>
      <c r="L83" s="370"/>
      <c r="N83" s="370"/>
    </row>
    <row r="84" spans="2:14" outlineLevel="1" x14ac:dyDescent="0.2">
      <c r="B84" s="3"/>
      <c r="C84" s="370"/>
      <c r="D84" s="370">
        <f t="shared" ref="D84:F84" si="39">D61-D80</f>
        <v>0</v>
      </c>
      <c r="E84" s="370">
        <f t="shared" si="39"/>
        <v>0</v>
      </c>
      <c r="F84" s="370">
        <f t="shared" si="39"/>
        <v>0</v>
      </c>
      <c r="G84" s="370"/>
      <c r="H84" s="370"/>
      <c r="I84" s="370"/>
    </row>
    <row r="85" spans="2:14" ht="28.5" customHeight="1" outlineLevel="1" x14ac:dyDescent="0.2">
      <c r="C85" s="107"/>
      <c r="D85" s="107"/>
      <c r="E85" s="107"/>
      <c r="F85" s="546"/>
      <c r="H85" s="370"/>
      <c r="I85" s="370"/>
    </row>
    <row r="86" spans="2:14" outlineLevel="1" x14ac:dyDescent="0.2">
      <c r="B86" s="52" t="s">
        <v>148</v>
      </c>
      <c r="F86" s="103"/>
      <c r="G86" s="103"/>
      <c r="H86" s="103"/>
      <c r="I86" s="103"/>
      <c r="J86" s="93"/>
    </row>
    <row r="87" spans="2:14" outlineLevel="1" x14ac:dyDescent="0.2">
      <c r="B87" s="52"/>
      <c r="F87" s="103"/>
      <c r="G87" s="103"/>
      <c r="H87" s="103"/>
      <c r="I87" s="103"/>
      <c r="J87" s="93"/>
    </row>
    <row r="88" spans="2:14" outlineLevel="1" x14ac:dyDescent="0.2">
      <c r="B88" s="71" t="s">
        <v>316</v>
      </c>
      <c r="C88" s="439">
        <v>44196</v>
      </c>
      <c r="D88" s="439">
        <v>43831</v>
      </c>
      <c r="E88" s="439">
        <v>43832</v>
      </c>
      <c r="F88" s="439">
        <v>43833</v>
      </c>
      <c r="G88" s="439">
        <v>43830</v>
      </c>
      <c r="H88" s="103"/>
      <c r="I88" s="103"/>
      <c r="J88" s="93"/>
    </row>
    <row r="89" spans="2:14" outlineLevel="1" x14ac:dyDescent="0.2">
      <c r="B89" s="214" t="s">
        <v>470</v>
      </c>
      <c r="C89" s="77">
        <v>15552048</v>
      </c>
      <c r="D89" s="573">
        <f>K41</f>
        <v>0</v>
      </c>
      <c r="E89" s="573">
        <f>L41</f>
        <v>0</v>
      </c>
      <c r="F89" s="573">
        <f>M41</f>
        <v>0</v>
      </c>
      <c r="G89" s="573">
        <v>17356269</v>
      </c>
      <c r="H89" s="103"/>
      <c r="I89" s="103"/>
      <c r="J89" s="93"/>
    </row>
    <row r="90" spans="2:14" ht="20.399999999999999" outlineLevel="1" x14ac:dyDescent="0.2">
      <c r="B90" s="104" t="s">
        <v>471</v>
      </c>
      <c r="C90" s="77">
        <v>0</v>
      </c>
      <c r="D90" s="573">
        <v>1</v>
      </c>
      <c r="E90" s="573">
        <v>2</v>
      </c>
      <c r="F90" s="573">
        <v>3</v>
      </c>
      <c r="G90" s="573">
        <v>0</v>
      </c>
      <c r="H90" s="103"/>
      <c r="I90" s="103"/>
      <c r="J90" s="93"/>
    </row>
    <row r="91" spans="2:14" outlineLevel="1" x14ac:dyDescent="0.2">
      <c r="B91" s="549" t="s">
        <v>27</v>
      </c>
      <c r="C91" s="90">
        <f>SUM(C89:C90)</f>
        <v>15552048</v>
      </c>
      <c r="D91" s="90">
        <f t="shared" ref="D91:G91" si="40">SUM(D89:D90)</f>
        <v>1</v>
      </c>
      <c r="E91" s="90">
        <f t="shared" si="40"/>
        <v>2</v>
      </c>
      <c r="F91" s="90">
        <f t="shared" si="40"/>
        <v>3</v>
      </c>
      <c r="G91" s="90">
        <f t="shared" si="40"/>
        <v>17356269</v>
      </c>
      <c r="H91" s="103"/>
      <c r="I91" s="103"/>
      <c r="J91" s="93"/>
    </row>
    <row r="92" spans="2:14" outlineLevel="1" x14ac:dyDescent="0.2">
      <c r="C92" s="314">
        <f>Aktywa!D5</f>
        <v>15552048</v>
      </c>
      <c r="D92" s="314">
        <f>[6]Aktywa!E5-D89</f>
        <v>14712781</v>
      </c>
      <c r="E92" s="314" t="e">
        <f>[6]Aktywa!F5-E89</f>
        <v>#REF!</v>
      </c>
      <c r="F92" s="314" t="e">
        <f>[6]Aktywa!G5-F89</f>
        <v>#REF!</v>
      </c>
      <c r="G92" s="314">
        <f>Aktywa!E5</f>
        <v>17356269</v>
      </c>
      <c r="H92" s="103"/>
      <c r="I92" s="103"/>
      <c r="J92" s="93"/>
    </row>
    <row r="93" spans="2:14" outlineLevel="1" x14ac:dyDescent="0.2">
      <c r="F93" s="103"/>
      <c r="G93" s="103"/>
      <c r="H93" s="103"/>
      <c r="I93" s="103"/>
      <c r="J93" s="93"/>
    </row>
    <row r="94" spans="2:14" hidden="1" outlineLevel="1" x14ac:dyDescent="0.2">
      <c r="B94" s="52" t="s">
        <v>149</v>
      </c>
      <c r="F94" s="103"/>
      <c r="G94" s="103"/>
      <c r="H94" s="103"/>
      <c r="I94" s="103"/>
      <c r="J94" s="93"/>
    </row>
    <row r="95" spans="2:14" hidden="1" outlineLevel="1" x14ac:dyDescent="0.2">
      <c r="B95" s="52"/>
      <c r="F95" s="103"/>
      <c r="G95" s="103"/>
      <c r="H95" s="103"/>
      <c r="I95" s="103"/>
      <c r="J95" s="93"/>
    </row>
    <row r="96" spans="2:14" ht="13.95" hidden="1" customHeight="1" outlineLevel="1" x14ac:dyDescent="0.2">
      <c r="B96" s="102" t="s">
        <v>472</v>
      </c>
      <c r="C96" s="439">
        <f>C88</f>
        <v>44196</v>
      </c>
      <c r="D96" s="439">
        <f>D88</f>
        <v>43831</v>
      </c>
      <c r="F96" s="103"/>
      <c r="G96" s="103"/>
      <c r="H96" s="103"/>
      <c r="I96" s="103"/>
      <c r="J96" s="93"/>
    </row>
    <row r="97" spans="2:10" hidden="1" outlineLevel="1" x14ac:dyDescent="0.2">
      <c r="B97" s="545"/>
      <c r="C97" s="77"/>
      <c r="D97" s="77"/>
      <c r="F97" s="103"/>
      <c r="G97" s="103"/>
      <c r="H97" s="103"/>
      <c r="I97" s="103"/>
      <c r="J97" s="93"/>
    </row>
    <row r="98" spans="2:10" hidden="1" outlineLevel="1" x14ac:dyDescent="0.2">
      <c r="B98" s="545"/>
      <c r="C98" s="77"/>
      <c r="D98" s="77"/>
      <c r="F98" s="103"/>
      <c r="G98" s="103"/>
      <c r="H98" s="103"/>
      <c r="I98" s="103"/>
      <c r="J98" s="93"/>
    </row>
    <row r="99" spans="2:10" hidden="1" outlineLevel="1" x14ac:dyDescent="0.2">
      <c r="B99" s="545"/>
      <c r="C99" s="77"/>
      <c r="D99" s="77"/>
      <c r="F99" s="103"/>
      <c r="G99" s="103"/>
      <c r="H99" s="103"/>
      <c r="I99" s="103"/>
      <c r="J99" s="93"/>
    </row>
    <row r="100" spans="2:10" hidden="1" outlineLevel="1" x14ac:dyDescent="0.2">
      <c r="B100" s="545"/>
      <c r="C100" s="77"/>
      <c r="D100" s="77"/>
      <c r="F100" s="103"/>
      <c r="G100" s="103"/>
      <c r="H100" s="103"/>
      <c r="I100" s="103"/>
      <c r="J100" s="93"/>
    </row>
    <row r="101" spans="2:10" hidden="1" outlineLevel="1" x14ac:dyDescent="0.2">
      <c r="B101" s="545"/>
      <c r="C101" s="77"/>
      <c r="D101" s="77"/>
      <c r="F101" s="103"/>
      <c r="G101" s="103"/>
      <c r="H101" s="103"/>
      <c r="I101" s="103"/>
      <c r="J101" s="93"/>
    </row>
    <row r="102" spans="2:10" ht="30.6" hidden="1" outlineLevel="1" x14ac:dyDescent="0.2">
      <c r="B102" s="544" t="s">
        <v>150</v>
      </c>
      <c r="C102" s="242">
        <f>SUM(C97:C101)</f>
        <v>0</v>
      </c>
      <c r="D102" s="242">
        <f>SUM(D97:D101)</f>
        <v>0</v>
      </c>
      <c r="F102" s="103"/>
      <c r="G102" s="103"/>
      <c r="H102" s="103"/>
      <c r="I102" s="103"/>
      <c r="J102" s="93"/>
    </row>
    <row r="103" spans="2:10" hidden="1" outlineLevel="1" x14ac:dyDescent="0.2">
      <c r="B103" s="548"/>
      <c r="C103" s="315"/>
      <c r="D103" s="315"/>
      <c r="F103" s="103"/>
      <c r="G103" s="103"/>
      <c r="H103" s="103"/>
      <c r="I103" s="103"/>
      <c r="J103" s="93"/>
    </row>
    <row r="104" spans="2:10" hidden="1" outlineLevel="1" x14ac:dyDescent="0.2">
      <c r="B104" s="548"/>
      <c r="C104" s="315"/>
      <c r="D104" s="315"/>
      <c r="F104" s="103"/>
      <c r="G104" s="103"/>
      <c r="H104" s="103"/>
      <c r="I104" s="103"/>
      <c r="J104" s="93"/>
    </row>
    <row r="105" spans="2:10" hidden="1" outlineLevel="1" x14ac:dyDescent="0.2">
      <c r="B105" s="52" t="s">
        <v>233</v>
      </c>
      <c r="C105" s="97"/>
      <c r="D105" s="97"/>
      <c r="F105" s="103"/>
      <c r="G105" s="103"/>
      <c r="H105" s="103"/>
      <c r="I105" s="103"/>
      <c r="J105" s="93"/>
    </row>
    <row r="106" spans="2:10" hidden="1" outlineLevel="1" x14ac:dyDescent="0.2">
      <c r="B106" s="548"/>
      <c r="C106" s="97"/>
      <c r="D106" s="97"/>
      <c r="F106" s="103"/>
      <c r="G106" s="103"/>
      <c r="H106" s="103"/>
      <c r="I106" s="103"/>
      <c r="J106" s="93"/>
    </row>
    <row r="107" spans="2:10" hidden="1" outlineLevel="1" x14ac:dyDescent="0.2">
      <c r="B107" s="547" t="s">
        <v>67</v>
      </c>
      <c r="C107" s="439">
        <f>C96</f>
        <v>44196</v>
      </c>
      <c r="D107" s="439">
        <f>D96</f>
        <v>43831</v>
      </c>
      <c r="F107" s="103"/>
      <c r="G107" s="103"/>
      <c r="H107" s="103"/>
      <c r="I107" s="103"/>
      <c r="J107" s="93"/>
    </row>
    <row r="108" spans="2:10" hidden="1" outlineLevel="1" x14ac:dyDescent="0.2">
      <c r="B108" s="545"/>
      <c r="C108" s="77"/>
      <c r="D108" s="77"/>
      <c r="F108" s="103"/>
      <c r="G108" s="103"/>
      <c r="H108" s="103"/>
      <c r="I108" s="103"/>
      <c r="J108" s="93"/>
    </row>
    <row r="109" spans="2:10" hidden="1" outlineLevel="1" x14ac:dyDescent="0.2">
      <c r="B109" s="545"/>
      <c r="C109" s="77"/>
      <c r="D109" s="77"/>
      <c r="F109" s="103"/>
      <c r="G109" s="103"/>
      <c r="H109" s="103"/>
      <c r="I109" s="103"/>
      <c r="J109" s="93"/>
    </row>
    <row r="110" spans="2:10" hidden="1" outlineLevel="1" x14ac:dyDescent="0.2">
      <c r="B110" s="545"/>
      <c r="C110" s="77"/>
      <c r="D110" s="77"/>
      <c r="F110" s="103"/>
      <c r="G110" s="103"/>
      <c r="H110" s="103"/>
      <c r="I110" s="103"/>
      <c r="J110" s="93"/>
    </row>
    <row r="111" spans="2:10" hidden="1" outlineLevel="1" x14ac:dyDescent="0.2">
      <c r="B111" s="545"/>
      <c r="C111" s="77"/>
      <c r="D111" s="77"/>
      <c r="F111" s="103"/>
      <c r="G111" s="103"/>
      <c r="H111" s="103"/>
      <c r="I111" s="103"/>
      <c r="J111" s="93"/>
    </row>
    <row r="112" spans="2:10" hidden="1" outlineLevel="1" x14ac:dyDescent="0.2">
      <c r="B112" s="545"/>
      <c r="C112" s="77"/>
      <c r="D112" s="77"/>
      <c r="F112" s="103"/>
      <c r="G112" s="103"/>
      <c r="H112" s="103"/>
      <c r="I112" s="103"/>
      <c r="J112" s="93"/>
    </row>
    <row r="113" spans="2:11" hidden="1" outlineLevel="1" x14ac:dyDescent="0.2">
      <c r="B113" s="545"/>
      <c r="C113" s="77"/>
      <c r="D113" s="77"/>
      <c r="F113" s="103"/>
      <c r="G113" s="103"/>
      <c r="H113" s="103"/>
      <c r="I113" s="103"/>
      <c r="J113" s="93"/>
    </row>
    <row r="114" spans="2:11" hidden="1" outlineLevel="1" x14ac:dyDescent="0.2">
      <c r="B114" s="549" t="s">
        <v>68</v>
      </c>
      <c r="C114" s="76">
        <f>SUM(C108:C113)</f>
        <v>0</v>
      </c>
      <c r="D114" s="76">
        <f>SUM(D108:D113)</f>
        <v>0</v>
      </c>
      <c r="F114" s="103"/>
      <c r="G114" s="103"/>
      <c r="H114" s="103"/>
      <c r="I114" s="103"/>
      <c r="J114" s="93"/>
    </row>
    <row r="115" spans="2:11" hidden="1" outlineLevel="1" x14ac:dyDescent="0.2">
      <c r="B115" s="548"/>
      <c r="C115" s="97"/>
      <c r="D115" s="97"/>
      <c r="F115" s="103"/>
      <c r="G115" s="103"/>
      <c r="H115" s="103"/>
      <c r="I115" s="103"/>
      <c r="J115" s="93"/>
    </row>
    <row r="116" spans="2:11" outlineLevel="1" x14ac:dyDescent="0.2"/>
    <row r="117" spans="2:11" ht="21.75" customHeight="1" outlineLevel="1" x14ac:dyDescent="0.2"/>
    <row r="118" spans="2:11" outlineLevel="1" x14ac:dyDescent="0.2"/>
    <row r="123" spans="2:11" x14ac:dyDescent="0.2">
      <c r="K123" s="431"/>
    </row>
    <row r="124" spans="2:11" x14ac:dyDescent="0.2">
      <c r="K124" s="346"/>
    </row>
    <row r="125" spans="2:11" x14ac:dyDescent="0.2">
      <c r="K125" s="370"/>
    </row>
    <row r="126" spans="2:11" x14ac:dyDescent="0.2">
      <c r="K126" s="370"/>
    </row>
    <row r="127" spans="2:11" x14ac:dyDescent="0.2">
      <c r="K127" s="370"/>
    </row>
    <row r="128" spans="2:11" x14ac:dyDescent="0.2">
      <c r="K128" s="370"/>
    </row>
    <row r="129" spans="11:11" x14ac:dyDescent="0.2">
      <c r="K129" s="370"/>
    </row>
    <row r="130" spans="11:11" x14ac:dyDescent="0.2">
      <c r="K130" s="346"/>
    </row>
    <row r="134" spans="11:11" x14ac:dyDescent="0.2">
      <c r="K134" s="431"/>
    </row>
    <row r="135" spans="11:11" x14ac:dyDescent="0.2">
      <c r="K135" s="346"/>
    </row>
    <row r="136" spans="11:11" x14ac:dyDescent="0.2">
      <c r="K136" s="370"/>
    </row>
    <row r="137" spans="11:11" x14ac:dyDescent="0.2">
      <c r="K137" s="370"/>
    </row>
    <row r="138" spans="11:11" x14ac:dyDescent="0.2">
      <c r="K138" s="370"/>
    </row>
    <row r="139" spans="11:11" x14ac:dyDescent="0.2">
      <c r="K139" s="370"/>
    </row>
    <row r="140" spans="11:11" x14ac:dyDescent="0.2">
      <c r="K140" s="370"/>
    </row>
    <row r="141" spans="11:11" x14ac:dyDescent="0.2">
      <c r="K141" s="346"/>
    </row>
    <row r="144" spans="11:11" x14ac:dyDescent="0.2">
      <c r="K144" s="93"/>
    </row>
    <row r="145" spans="11:11" x14ac:dyDescent="0.2">
      <c r="K145" s="93"/>
    </row>
    <row r="146" spans="11:11" x14ac:dyDescent="0.2">
      <c r="K146" s="93"/>
    </row>
    <row r="147" spans="11:11" x14ac:dyDescent="0.2">
      <c r="K147" s="93"/>
    </row>
    <row r="148" spans="11:11" x14ac:dyDescent="0.2">
      <c r="K148" s="93"/>
    </row>
    <row r="149" spans="11:11" x14ac:dyDescent="0.2">
      <c r="K149" s="93"/>
    </row>
    <row r="150" spans="11:11" x14ac:dyDescent="0.2">
      <c r="K150" s="93"/>
    </row>
    <row r="151" spans="11:11" x14ac:dyDescent="0.2">
      <c r="K151" s="93"/>
    </row>
    <row r="152" spans="11:11" x14ac:dyDescent="0.2">
      <c r="K152" s="93"/>
    </row>
    <row r="153" spans="11:11" x14ac:dyDescent="0.2">
      <c r="K153" s="93"/>
    </row>
    <row r="154" spans="11:11" x14ac:dyDescent="0.2">
      <c r="K154" s="93"/>
    </row>
    <row r="155" spans="11:11" x14ac:dyDescent="0.2">
      <c r="K155" s="93"/>
    </row>
    <row r="156" spans="11:11" x14ac:dyDescent="0.2">
      <c r="K156" s="93"/>
    </row>
    <row r="157" spans="11:11" x14ac:dyDescent="0.2">
      <c r="K157" s="93"/>
    </row>
    <row r="158" spans="11:11" x14ac:dyDescent="0.2">
      <c r="K158" s="93"/>
    </row>
    <row r="159" spans="11:11" x14ac:dyDescent="0.2">
      <c r="K159" s="93"/>
    </row>
    <row r="160" spans="11:11" x14ac:dyDescent="0.2">
      <c r="K160" s="93"/>
    </row>
    <row r="161" spans="11:11" x14ac:dyDescent="0.2">
      <c r="K161" s="93"/>
    </row>
    <row r="162" spans="11:11" x14ac:dyDescent="0.2">
      <c r="K162" s="93"/>
    </row>
    <row r="163" spans="11:11" x14ac:dyDescent="0.2">
      <c r="K163" s="93"/>
    </row>
    <row r="164" spans="11:11" x14ac:dyDescent="0.2">
      <c r="K164" s="93"/>
    </row>
    <row r="165" spans="11:11" x14ac:dyDescent="0.2">
      <c r="K165" s="93"/>
    </row>
    <row r="166" spans="11:11" x14ac:dyDescent="0.2">
      <c r="K166" s="93"/>
    </row>
    <row r="167" spans="11:11" x14ac:dyDescent="0.2">
      <c r="K167" s="93"/>
    </row>
    <row r="168" spans="11:11" x14ac:dyDescent="0.2">
      <c r="K168" s="93"/>
    </row>
    <row r="169" spans="11:11" x14ac:dyDescent="0.2">
      <c r="K169" s="93"/>
    </row>
    <row r="170" spans="11:11" x14ac:dyDescent="0.2">
      <c r="K170" s="93"/>
    </row>
    <row r="171" spans="11:11" x14ac:dyDescent="0.2">
      <c r="K171" s="93"/>
    </row>
    <row r="172" spans="11:11" x14ac:dyDescent="0.2">
      <c r="K172" s="93"/>
    </row>
    <row r="173" spans="11:11" x14ac:dyDescent="0.2">
      <c r="K173" s="93"/>
    </row>
  </sheetData>
  <phoneticPr fontId="31" type="noConversion"/>
  <pageMargins left="0.74803149606299213" right="0.74803149606299213" top="0.98425196850393704" bottom="0.98425196850393704" header="0.51181102362204722" footer="0.51181102362204722"/>
  <pageSetup paperSize="9" scale="60" fitToHeight="2" orientation="portrait" r:id="rId1"/>
  <headerFooter alignWithMargins="0"/>
  <rowBreaks count="1" manualBreakCount="1">
    <brk id="74" min="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2" workbookViewId="0">
      <selection activeCell="A149" sqref="A31:XFD149"/>
    </sheetView>
  </sheetViews>
  <sheetFormatPr defaultColWidth="9.33203125" defaultRowHeight="10.199999999999999" x14ac:dyDescent="0.2"/>
  <cols>
    <col min="1" max="1" width="43.5546875" style="584" customWidth="1"/>
    <col min="2" max="2" width="18" style="584" customWidth="1"/>
    <col min="3" max="4" width="17.33203125" style="584" customWidth="1"/>
    <col min="5" max="5" width="12.6640625" style="584" customWidth="1"/>
    <col min="6" max="6" width="14.33203125" style="584" customWidth="1"/>
    <col min="7" max="7" width="13.33203125" style="584" customWidth="1"/>
    <col min="8" max="8" width="29.6640625" style="584" customWidth="1"/>
    <col min="9" max="257" width="9.33203125" style="584"/>
    <col min="258" max="258" width="43.5546875" style="584" customWidth="1"/>
    <col min="259" max="259" width="18" style="584" customWidth="1"/>
    <col min="260" max="260" width="17.33203125" style="584" customWidth="1"/>
    <col min="261" max="261" width="12.6640625" style="584" customWidth="1"/>
    <col min="262" max="262" width="14.33203125" style="584" customWidth="1"/>
    <col min="263" max="263" width="13.33203125" style="584" customWidth="1"/>
    <col min="264" max="513" width="9.33203125" style="584"/>
    <col min="514" max="514" width="43.5546875" style="584" customWidth="1"/>
    <col min="515" max="515" width="18" style="584" customWidth="1"/>
    <col min="516" max="516" width="17.33203125" style="584" customWidth="1"/>
    <col min="517" max="517" width="12.6640625" style="584" customWidth="1"/>
    <col min="518" max="518" width="14.33203125" style="584" customWidth="1"/>
    <col min="519" max="519" width="13.33203125" style="584" customWidth="1"/>
    <col min="520" max="769" width="9.33203125" style="584"/>
    <col min="770" max="770" width="43.5546875" style="584" customWidth="1"/>
    <col min="771" max="771" width="18" style="584" customWidth="1"/>
    <col min="772" max="772" width="17.33203125" style="584" customWidth="1"/>
    <col min="773" max="773" width="12.6640625" style="584" customWidth="1"/>
    <col min="774" max="774" width="14.33203125" style="584" customWidth="1"/>
    <col min="775" max="775" width="13.33203125" style="584" customWidth="1"/>
    <col min="776" max="1025" width="9.33203125" style="584"/>
    <col min="1026" max="1026" width="43.5546875" style="584" customWidth="1"/>
    <col min="1027" max="1027" width="18" style="584" customWidth="1"/>
    <col min="1028" max="1028" width="17.33203125" style="584" customWidth="1"/>
    <col min="1029" max="1029" width="12.6640625" style="584" customWidth="1"/>
    <col min="1030" max="1030" width="14.33203125" style="584" customWidth="1"/>
    <col min="1031" max="1031" width="13.33203125" style="584" customWidth="1"/>
    <col min="1032" max="1281" width="9.33203125" style="584"/>
    <col min="1282" max="1282" width="43.5546875" style="584" customWidth="1"/>
    <col min="1283" max="1283" width="18" style="584" customWidth="1"/>
    <col min="1284" max="1284" width="17.33203125" style="584" customWidth="1"/>
    <col min="1285" max="1285" width="12.6640625" style="584" customWidth="1"/>
    <col min="1286" max="1286" width="14.33203125" style="584" customWidth="1"/>
    <col min="1287" max="1287" width="13.33203125" style="584" customWidth="1"/>
    <col min="1288" max="1537" width="9.33203125" style="584"/>
    <col min="1538" max="1538" width="43.5546875" style="584" customWidth="1"/>
    <col min="1539" max="1539" width="18" style="584" customWidth="1"/>
    <col min="1540" max="1540" width="17.33203125" style="584" customWidth="1"/>
    <col min="1541" max="1541" width="12.6640625" style="584" customWidth="1"/>
    <col min="1542" max="1542" width="14.33203125" style="584" customWidth="1"/>
    <col min="1543" max="1543" width="13.33203125" style="584" customWidth="1"/>
    <col min="1544" max="1793" width="9.33203125" style="584"/>
    <col min="1794" max="1794" width="43.5546875" style="584" customWidth="1"/>
    <col min="1795" max="1795" width="18" style="584" customWidth="1"/>
    <col min="1796" max="1796" width="17.33203125" style="584" customWidth="1"/>
    <col min="1797" max="1797" width="12.6640625" style="584" customWidth="1"/>
    <col min="1798" max="1798" width="14.33203125" style="584" customWidth="1"/>
    <col min="1799" max="1799" width="13.33203125" style="584" customWidth="1"/>
    <col min="1800" max="2049" width="9.33203125" style="584"/>
    <col min="2050" max="2050" width="43.5546875" style="584" customWidth="1"/>
    <col min="2051" max="2051" width="18" style="584" customWidth="1"/>
    <col min="2052" max="2052" width="17.33203125" style="584" customWidth="1"/>
    <col min="2053" max="2053" width="12.6640625" style="584" customWidth="1"/>
    <col min="2054" max="2054" width="14.33203125" style="584" customWidth="1"/>
    <col min="2055" max="2055" width="13.33203125" style="584" customWidth="1"/>
    <col min="2056" max="2305" width="9.33203125" style="584"/>
    <col min="2306" max="2306" width="43.5546875" style="584" customWidth="1"/>
    <col min="2307" max="2307" width="18" style="584" customWidth="1"/>
    <col min="2308" max="2308" width="17.33203125" style="584" customWidth="1"/>
    <col min="2309" max="2309" width="12.6640625" style="584" customWidth="1"/>
    <col min="2310" max="2310" width="14.33203125" style="584" customWidth="1"/>
    <col min="2311" max="2311" width="13.33203125" style="584" customWidth="1"/>
    <col min="2312" max="2561" width="9.33203125" style="584"/>
    <col min="2562" max="2562" width="43.5546875" style="584" customWidth="1"/>
    <col min="2563" max="2563" width="18" style="584" customWidth="1"/>
    <col min="2564" max="2564" width="17.33203125" style="584" customWidth="1"/>
    <col min="2565" max="2565" width="12.6640625" style="584" customWidth="1"/>
    <col min="2566" max="2566" width="14.33203125" style="584" customWidth="1"/>
    <col min="2567" max="2567" width="13.33203125" style="584" customWidth="1"/>
    <col min="2568" max="2817" width="9.33203125" style="584"/>
    <col min="2818" max="2818" width="43.5546875" style="584" customWidth="1"/>
    <col min="2819" max="2819" width="18" style="584" customWidth="1"/>
    <col min="2820" max="2820" width="17.33203125" style="584" customWidth="1"/>
    <col min="2821" max="2821" width="12.6640625" style="584" customWidth="1"/>
    <col min="2822" max="2822" width="14.33203125" style="584" customWidth="1"/>
    <col min="2823" max="2823" width="13.33203125" style="584" customWidth="1"/>
    <col min="2824" max="3073" width="9.33203125" style="584"/>
    <col min="3074" max="3074" width="43.5546875" style="584" customWidth="1"/>
    <col min="3075" max="3075" width="18" style="584" customWidth="1"/>
    <col min="3076" max="3076" width="17.33203125" style="584" customWidth="1"/>
    <col min="3077" max="3077" width="12.6640625" style="584" customWidth="1"/>
    <col min="3078" max="3078" width="14.33203125" style="584" customWidth="1"/>
    <col min="3079" max="3079" width="13.33203125" style="584" customWidth="1"/>
    <col min="3080" max="3329" width="9.33203125" style="584"/>
    <col min="3330" max="3330" width="43.5546875" style="584" customWidth="1"/>
    <col min="3331" max="3331" width="18" style="584" customWidth="1"/>
    <col min="3332" max="3332" width="17.33203125" style="584" customWidth="1"/>
    <col min="3333" max="3333" width="12.6640625" style="584" customWidth="1"/>
    <col min="3334" max="3334" width="14.33203125" style="584" customWidth="1"/>
    <col min="3335" max="3335" width="13.33203125" style="584" customWidth="1"/>
    <col min="3336" max="3585" width="9.33203125" style="584"/>
    <col min="3586" max="3586" width="43.5546875" style="584" customWidth="1"/>
    <col min="3587" max="3587" width="18" style="584" customWidth="1"/>
    <col min="3588" max="3588" width="17.33203125" style="584" customWidth="1"/>
    <col min="3589" max="3589" width="12.6640625" style="584" customWidth="1"/>
    <col min="3590" max="3590" width="14.33203125" style="584" customWidth="1"/>
    <col min="3591" max="3591" width="13.33203125" style="584" customWidth="1"/>
    <col min="3592" max="3841" width="9.33203125" style="584"/>
    <col min="3842" max="3842" width="43.5546875" style="584" customWidth="1"/>
    <col min="3843" max="3843" width="18" style="584" customWidth="1"/>
    <col min="3844" max="3844" width="17.33203125" style="584" customWidth="1"/>
    <col min="3845" max="3845" width="12.6640625" style="584" customWidth="1"/>
    <col min="3846" max="3846" width="14.33203125" style="584" customWidth="1"/>
    <col min="3847" max="3847" width="13.33203125" style="584" customWidth="1"/>
    <col min="3848" max="4097" width="9.33203125" style="584"/>
    <col min="4098" max="4098" width="43.5546875" style="584" customWidth="1"/>
    <col min="4099" max="4099" width="18" style="584" customWidth="1"/>
    <col min="4100" max="4100" width="17.33203125" style="584" customWidth="1"/>
    <col min="4101" max="4101" width="12.6640625" style="584" customWidth="1"/>
    <col min="4102" max="4102" width="14.33203125" style="584" customWidth="1"/>
    <col min="4103" max="4103" width="13.33203125" style="584" customWidth="1"/>
    <col min="4104" max="4353" width="9.33203125" style="584"/>
    <col min="4354" max="4354" width="43.5546875" style="584" customWidth="1"/>
    <col min="4355" max="4355" width="18" style="584" customWidth="1"/>
    <col min="4356" max="4356" width="17.33203125" style="584" customWidth="1"/>
    <col min="4357" max="4357" width="12.6640625" style="584" customWidth="1"/>
    <col min="4358" max="4358" width="14.33203125" style="584" customWidth="1"/>
    <col min="4359" max="4359" width="13.33203125" style="584" customWidth="1"/>
    <col min="4360" max="4609" width="9.33203125" style="584"/>
    <col min="4610" max="4610" width="43.5546875" style="584" customWidth="1"/>
    <col min="4611" max="4611" width="18" style="584" customWidth="1"/>
    <col min="4612" max="4612" width="17.33203125" style="584" customWidth="1"/>
    <col min="4613" max="4613" width="12.6640625" style="584" customWidth="1"/>
    <col min="4614" max="4614" width="14.33203125" style="584" customWidth="1"/>
    <col min="4615" max="4615" width="13.33203125" style="584" customWidth="1"/>
    <col min="4616" max="4865" width="9.33203125" style="584"/>
    <col min="4866" max="4866" width="43.5546875" style="584" customWidth="1"/>
    <col min="4867" max="4867" width="18" style="584" customWidth="1"/>
    <col min="4868" max="4868" width="17.33203125" style="584" customWidth="1"/>
    <col min="4869" max="4869" width="12.6640625" style="584" customWidth="1"/>
    <col min="4870" max="4870" width="14.33203125" style="584" customWidth="1"/>
    <col min="4871" max="4871" width="13.33203125" style="584" customWidth="1"/>
    <col min="4872" max="5121" width="9.33203125" style="584"/>
    <col min="5122" max="5122" width="43.5546875" style="584" customWidth="1"/>
    <col min="5123" max="5123" width="18" style="584" customWidth="1"/>
    <col min="5124" max="5124" width="17.33203125" style="584" customWidth="1"/>
    <col min="5125" max="5125" width="12.6640625" style="584" customWidth="1"/>
    <col min="5126" max="5126" width="14.33203125" style="584" customWidth="1"/>
    <col min="5127" max="5127" width="13.33203125" style="584" customWidth="1"/>
    <col min="5128" max="5377" width="9.33203125" style="584"/>
    <col min="5378" max="5378" width="43.5546875" style="584" customWidth="1"/>
    <col min="5379" max="5379" width="18" style="584" customWidth="1"/>
    <col min="5380" max="5380" width="17.33203125" style="584" customWidth="1"/>
    <col min="5381" max="5381" width="12.6640625" style="584" customWidth="1"/>
    <col min="5382" max="5382" width="14.33203125" style="584" customWidth="1"/>
    <col min="5383" max="5383" width="13.33203125" style="584" customWidth="1"/>
    <col min="5384" max="5633" width="9.33203125" style="584"/>
    <col min="5634" max="5634" width="43.5546875" style="584" customWidth="1"/>
    <col min="5635" max="5635" width="18" style="584" customWidth="1"/>
    <col min="5636" max="5636" width="17.33203125" style="584" customWidth="1"/>
    <col min="5637" max="5637" width="12.6640625" style="584" customWidth="1"/>
    <col min="5638" max="5638" width="14.33203125" style="584" customWidth="1"/>
    <col min="5639" max="5639" width="13.33203125" style="584" customWidth="1"/>
    <col min="5640" max="5889" width="9.33203125" style="584"/>
    <col min="5890" max="5890" width="43.5546875" style="584" customWidth="1"/>
    <col min="5891" max="5891" width="18" style="584" customWidth="1"/>
    <col min="5892" max="5892" width="17.33203125" style="584" customWidth="1"/>
    <col min="5893" max="5893" width="12.6640625" style="584" customWidth="1"/>
    <col min="5894" max="5894" width="14.33203125" style="584" customWidth="1"/>
    <col min="5895" max="5895" width="13.33203125" style="584" customWidth="1"/>
    <col min="5896" max="6145" width="9.33203125" style="584"/>
    <col min="6146" max="6146" width="43.5546875" style="584" customWidth="1"/>
    <col min="6147" max="6147" width="18" style="584" customWidth="1"/>
    <col min="6148" max="6148" width="17.33203125" style="584" customWidth="1"/>
    <col min="6149" max="6149" width="12.6640625" style="584" customWidth="1"/>
    <col min="6150" max="6150" width="14.33203125" style="584" customWidth="1"/>
    <col min="6151" max="6151" width="13.33203125" style="584" customWidth="1"/>
    <col min="6152" max="6401" width="9.33203125" style="584"/>
    <col min="6402" max="6402" width="43.5546875" style="584" customWidth="1"/>
    <col min="6403" max="6403" width="18" style="584" customWidth="1"/>
    <col min="6404" max="6404" width="17.33203125" style="584" customWidth="1"/>
    <col min="6405" max="6405" width="12.6640625" style="584" customWidth="1"/>
    <col min="6406" max="6406" width="14.33203125" style="584" customWidth="1"/>
    <col min="6407" max="6407" width="13.33203125" style="584" customWidth="1"/>
    <col min="6408" max="6657" width="9.33203125" style="584"/>
    <col min="6658" max="6658" width="43.5546875" style="584" customWidth="1"/>
    <col min="6659" max="6659" width="18" style="584" customWidth="1"/>
    <col min="6660" max="6660" width="17.33203125" style="584" customWidth="1"/>
    <col min="6661" max="6661" width="12.6640625" style="584" customWidth="1"/>
    <col min="6662" max="6662" width="14.33203125" style="584" customWidth="1"/>
    <col min="6663" max="6663" width="13.33203125" style="584" customWidth="1"/>
    <col min="6664" max="6913" width="9.33203125" style="584"/>
    <col min="6914" max="6914" width="43.5546875" style="584" customWidth="1"/>
    <col min="6915" max="6915" width="18" style="584" customWidth="1"/>
    <col min="6916" max="6916" width="17.33203125" style="584" customWidth="1"/>
    <col min="6917" max="6917" width="12.6640625" style="584" customWidth="1"/>
    <col min="6918" max="6918" width="14.33203125" style="584" customWidth="1"/>
    <col min="6919" max="6919" width="13.33203125" style="584" customWidth="1"/>
    <col min="6920" max="7169" width="9.33203125" style="584"/>
    <col min="7170" max="7170" width="43.5546875" style="584" customWidth="1"/>
    <col min="7171" max="7171" width="18" style="584" customWidth="1"/>
    <col min="7172" max="7172" width="17.33203125" style="584" customWidth="1"/>
    <col min="7173" max="7173" width="12.6640625" style="584" customWidth="1"/>
    <col min="7174" max="7174" width="14.33203125" style="584" customWidth="1"/>
    <col min="7175" max="7175" width="13.33203125" style="584" customWidth="1"/>
    <col min="7176" max="7425" width="9.33203125" style="584"/>
    <col min="7426" max="7426" width="43.5546875" style="584" customWidth="1"/>
    <col min="7427" max="7427" width="18" style="584" customWidth="1"/>
    <col min="7428" max="7428" width="17.33203125" style="584" customWidth="1"/>
    <col min="7429" max="7429" width="12.6640625" style="584" customWidth="1"/>
    <col min="7430" max="7430" width="14.33203125" style="584" customWidth="1"/>
    <col min="7431" max="7431" width="13.33203125" style="584" customWidth="1"/>
    <col min="7432" max="7681" width="9.33203125" style="584"/>
    <col min="7682" max="7682" width="43.5546875" style="584" customWidth="1"/>
    <col min="7683" max="7683" width="18" style="584" customWidth="1"/>
    <col min="7684" max="7684" width="17.33203125" style="584" customWidth="1"/>
    <col min="7685" max="7685" width="12.6640625" style="584" customWidth="1"/>
    <col min="7686" max="7686" width="14.33203125" style="584" customWidth="1"/>
    <col min="7687" max="7687" width="13.33203125" style="584" customWidth="1"/>
    <col min="7688" max="7937" width="9.33203125" style="584"/>
    <col min="7938" max="7938" width="43.5546875" style="584" customWidth="1"/>
    <col min="7939" max="7939" width="18" style="584" customWidth="1"/>
    <col min="7940" max="7940" width="17.33203125" style="584" customWidth="1"/>
    <col min="7941" max="7941" width="12.6640625" style="584" customWidth="1"/>
    <col min="7942" max="7942" width="14.33203125" style="584" customWidth="1"/>
    <col min="7943" max="7943" width="13.33203125" style="584" customWidth="1"/>
    <col min="7944" max="8193" width="9.33203125" style="584"/>
    <col min="8194" max="8194" width="43.5546875" style="584" customWidth="1"/>
    <col min="8195" max="8195" width="18" style="584" customWidth="1"/>
    <col min="8196" max="8196" width="17.33203125" style="584" customWidth="1"/>
    <col min="8197" max="8197" width="12.6640625" style="584" customWidth="1"/>
    <col min="8198" max="8198" width="14.33203125" style="584" customWidth="1"/>
    <col min="8199" max="8199" width="13.33203125" style="584" customWidth="1"/>
    <col min="8200" max="8449" width="9.33203125" style="584"/>
    <col min="8450" max="8450" width="43.5546875" style="584" customWidth="1"/>
    <col min="8451" max="8451" width="18" style="584" customWidth="1"/>
    <col min="8452" max="8452" width="17.33203125" style="584" customWidth="1"/>
    <col min="8453" max="8453" width="12.6640625" style="584" customWidth="1"/>
    <col min="8454" max="8454" width="14.33203125" style="584" customWidth="1"/>
    <col min="8455" max="8455" width="13.33203125" style="584" customWidth="1"/>
    <col min="8456" max="8705" width="9.33203125" style="584"/>
    <col min="8706" max="8706" width="43.5546875" style="584" customWidth="1"/>
    <col min="8707" max="8707" width="18" style="584" customWidth="1"/>
    <col min="8708" max="8708" width="17.33203125" style="584" customWidth="1"/>
    <col min="8709" max="8709" width="12.6640625" style="584" customWidth="1"/>
    <col min="8710" max="8710" width="14.33203125" style="584" customWidth="1"/>
    <col min="8711" max="8711" width="13.33203125" style="584" customWidth="1"/>
    <col min="8712" max="8961" width="9.33203125" style="584"/>
    <col min="8962" max="8962" width="43.5546875" style="584" customWidth="1"/>
    <col min="8963" max="8963" width="18" style="584" customWidth="1"/>
    <col min="8964" max="8964" width="17.33203125" style="584" customWidth="1"/>
    <col min="8965" max="8965" width="12.6640625" style="584" customWidth="1"/>
    <col min="8966" max="8966" width="14.33203125" style="584" customWidth="1"/>
    <col min="8967" max="8967" width="13.33203125" style="584" customWidth="1"/>
    <col min="8968" max="9217" width="9.33203125" style="584"/>
    <col min="9218" max="9218" width="43.5546875" style="584" customWidth="1"/>
    <col min="9219" max="9219" width="18" style="584" customWidth="1"/>
    <col min="9220" max="9220" width="17.33203125" style="584" customWidth="1"/>
    <col min="9221" max="9221" width="12.6640625" style="584" customWidth="1"/>
    <col min="9222" max="9222" width="14.33203125" style="584" customWidth="1"/>
    <col min="9223" max="9223" width="13.33203125" style="584" customWidth="1"/>
    <col min="9224" max="9473" width="9.33203125" style="584"/>
    <col min="9474" max="9474" width="43.5546875" style="584" customWidth="1"/>
    <col min="9475" max="9475" width="18" style="584" customWidth="1"/>
    <col min="9476" max="9476" width="17.33203125" style="584" customWidth="1"/>
    <col min="9477" max="9477" width="12.6640625" style="584" customWidth="1"/>
    <col min="9478" max="9478" width="14.33203125" style="584" customWidth="1"/>
    <col min="9479" max="9479" width="13.33203125" style="584" customWidth="1"/>
    <col min="9480" max="9729" width="9.33203125" style="584"/>
    <col min="9730" max="9730" width="43.5546875" style="584" customWidth="1"/>
    <col min="9731" max="9731" width="18" style="584" customWidth="1"/>
    <col min="9732" max="9732" width="17.33203125" style="584" customWidth="1"/>
    <col min="9733" max="9733" width="12.6640625" style="584" customWidth="1"/>
    <col min="9734" max="9734" width="14.33203125" style="584" customWidth="1"/>
    <col min="9735" max="9735" width="13.33203125" style="584" customWidth="1"/>
    <col min="9736" max="9985" width="9.33203125" style="584"/>
    <col min="9986" max="9986" width="43.5546875" style="584" customWidth="1"/>
    <col min="9987" max="9987" width="18" style="584" customWidth="1"/>
    <col min="9988" max="9988" width="17.33203125" style="584" customWidth="1"/>
    <col min="9989" max="9989" width="12.6640625" style="584" customWidth="1"/>
    <col min="9990" max="9990" width="14.33203125" style="584" customWidth="1"/>
    <col min="9991" max="9991" width="13.33203125" style="584" customWidth="1"/>
    <col min="9992" max="10241" width="9.33203125" style="584"/>
    <col min="10242" max="10242" width="43.5546875" style="584" customWidth="1"/>
    <col min="10243" max="10243" width="18" style="584" customWidth="1"/>
    <col min="10244" max="10244" width="17.33203125" style="584" customWidth="1"/>
    <col min="10245" max="10245" width="12.6640625" style="584" customWidth="1"/>
    <col min="10246" max="10246" width="14.33203125" style="584" customWidth="1"/>
    <col min="10247" max="10247" width="13.33203125" style="584" customWidth="1"/>
    <col min="10248" max="10497" width="9.33203125" style="584"/>
    <col min="10498" max="10498" width="43.5546875" style="584" customWidth="1"/>
    <col min="10499" max="10499" width="18" style="584" customWidth="1"/>
    <col min="10500" max="10500" width="17.33203125" style="584" customWidth="1"/>
    <col min="10501" max="10501" width="12.6640625" style="584" customWidth="1"/>
    <col min="10502" max="10502" width="14.33203125" style="584" customWidth="1"/>
    <col min="10503" max="10503" width="13.33203125" style="584" customWidth="1"/>
    <col min="10504" max="10753" width="9.33203125" style="584"/>
    <col min="10754" max="10754" width="43.5546875" style="584" customWidth="1"/>
    <col min="10755" max="10755" width="18" style="584" customWidth="1"/>
    <col min="10756" max="10756" width="17.33203125" style="584" customWidth="1"/>
    <col min="10757" max="10757" width="12.6640625" style="584" customWidth="1"/>
    <col min="10758" max="10758" width="14.33203125" style="584" customWidth="1"/>
    <col min="10759" max="10759" width="13.33203125" style="584" customWidth="1"/>
    <col min="10760" max="11009" width="9.33203125" style="584"/>
    <col min="11010" max="11010" width="43.5546875" style="584" customWidth="1"/>
    <col min="11011" max="11011" width="18" style="584" customWidth="1"/>
    <col min="11012" max="11012" width="17.33203125" style="584" customWidth="1"/>
    <col min="11013" max="11013" width="12.6640625" style="584" customWidth="1"/>
    <col min="11014" max="11014" width="14.33203125" style="584" customWidth="1"/>
    <col min="11015" max="11015" width="13.33203125" style="584" customWidth="1"/>
    <col min="11016" max="11265" width="9.33203125" style="584"/>
    <col min="11266" max="11266" width="43.5546875" style="584" customWidth="1"/>
    <col min="11267" max="11267" width="18" style="584" customWidth="1"/>
    <col min="11268" max="11268" width="17.33203125" style="584" customWidth="1"/>
    <col min="11269" max="11269" width="12.6640625" style="584" customWidth="1"/>
    <col min="11270" max="11270" width="14.33203125" style="584" customWidth="1"/>
    <col min="11271" max="11271" width="13.33203125" style="584" customWidth="1"/>
    <col min="11272" max="11521" width="9.33203125" style="584"/>
    <col min="11522" max="11522" width="43.5546875" style="584" customWidth="1"/>
    <col min="11523" max="11523" width="18" style="584" customWidth="1"/>
    <col min="11524" max="11524" width="17.33203125" style="584" customWidth="1"/>
    <col min="11525" max="11525" width="12.6640625" style="584" customWidth="1"/>
    <col min="11526" max="11526" width="14.33203125" style="584" customWidth="1"/>
    <col min="11527" max="11527" width="13.33203125" style="584" customWidth="1"/>
    <col min="11528" max="11777" width="9.33203125" style="584"/>
    <col min="11778" max="11778" width="43.5546875" style="584" customWidth="1"/>
    <col min="11779" max="11779" width="18" style="584" customWidth="1"/>
    <col min="11780" max="11780" width="17.33203125" style="584" customWidth="1"/>
    <col min="11781" max="11781" width="12.6640625" style="584" customWidth="1"/>
    <col min="11782" max="11782" width="14.33203125" style="584" customWidth="1"/>
    <col min="11783" max="11783" width="13.33203125" style="584" customWidth="1"/>
    <col min="11784" max="12033" width="9.33203125" style="584"/>
    <col min="12034" max="12034" width="43.5546875" style="584" customWidth="1"/>
    <col min="12035" max="12035" width="18" style="584" customWidth="1"/>
    <col min="12036" max="12036" width="17.33203125" style="584" customWidth="1"/>
    <col min="12037" max="12037" width="12.6640625" style="584" customWidth="1"/>
    <col min="12038" max="12038" width="14.33203125" style="584" customWidth="1"/>
    <col min="12039" max="12039" width="13.33203125" style="584" customWidth="1"/>
    <col min="12040" max="12289" width="9.33203125" style="584"/>
    <col min="12290" max="12290" width="43.5546875" style="584" customWidth="1"/>
    <col min="12291" max="12291" width="18" style="584" customWidth="1"/>
    <col min="12292" max="12292" width="17.33203125" style="584" customWidth="1"/>
    <col min="12293" max="12293" width="12.6640625" style="584" customWidth="1"/>
    <col min="12294" max="12294" width="14.33203125" style="584" customWidth="1"/>
    <col min="12295" max="12295" width="13.33203125" style="584" customWidth="1"/>
    <col min="12296" max="12545" width="9.33203125" style="584"/>
    <col min="12546" max="12546" width="43.5546875" style="584" customWidth="1"/>
    <col min="12547" max="12547" width="18" style="584" customWidth="1"/>
    <col min="12548" max="12548" width="17.33203125" style="584" customWidth="1"/>
    <col min="12549" max="12549" width="12.6640625" style="584" customWidth="1"/>
    <col min="12550" max="12550" width="14.33203125" style="584" customWidth="1"/>
    <col min="12551" max="12551" width="13.33203125" style="584" customWidth="1"/>
    <col min="12552" max="12801" width="9.33203125" style="584"/>
    <col min="12802" max="12802" width="43.5546875" style="584" customWidth="1"/>
    <col min="12803" max="12803" width="18" style="584" customWidth="1"/>
    <col min="12804" max="12804" width="17.33203125" style="584" customWidth="1"/>
    <col min="12805" max="12805" width="12.6640625" style="584" customWidth="1"/>
    <col min="12806" max="12806" width="14.33203125" style="584" customWidth="1"/>
    <col min="12807" max="12807" width="13.33203125" style="584" customWidth="1"/>
    <col min="12808" max="13057" width="9.33203125" style="584"/>
    <col min="13058" max="13058" width="43.5546875" style="584" customWidth="1"/>
    <col min="13059" max="13059" width="18" style="584" customWidth="1"/>
    <col min="13060" max="13060" width="17.33203125" style="584" customWidth="1"/>
    <col min="13061" max="13061" width="12.6640625" style="584" customWidth="1"/>
    <col min="13062" max="13062" width="14.33203125" style="584" customWidth="1"/>
    <col min="13063" max="13063" width="13.33203125" style="584" customWidth="1"/>
    <col min="13064" max="13313" width="9.33203125" style="584"/>
    <col min="13314" max="13314" width="43.5546875" style="584" customWidth="1"/>
    <col min="13315" max="13315" width="18" style="584" customWidth="1"/>
    <col min="13316" max="13316" width="17.33203125" style="584" customWidth="1"/>
    <col min="13317" max="13317" width="12.6640625" style="584" customWidth="1"/>
    <col min="13318" max="13318" width="14.33203125" style="584" customWidth="1"/>
    <col min="13319" max="13319" width="13.33203125" style="584" customWidth="1"/>
    <col min="13320" max="13569" width="9.33203125" style="584"/>
    <col min="13570" max="13570" width="43.5546875" style="584" customWidth="1"/>
    <col min="13571" max="13571" width="18" style="584" customWidth="1"/>
    <col min="13572" max="13572" width="17.33203125" style="584" customWidth="1"/>
    <col min="13573" max="13573" width="12.6640625" style="584" customWidth="1"/>
    <col min="13574" max="13574" width="14.33203125" style="584" customWidth="1"/>
    <col min="13575" max="13575" width="13.33203125" style="584" customWidth="1"/>
    <col min="13576" max="13825" width="9.33203125" style="584"/>
    <col min="13826" max="13826" width="43.5546875" style="584" customWidth="1"/>
    <col min="13827" max="13827" width="18" style="584" customWidth="1"/>
    <col min="13828" max="13828" width="17.33203125" style="584" customWidth="1"/>
    <col min="13829" max="13829" width="12.6640625" style="584" customWidth="1"/>
    <col min="13830" max="13830" width="14.33203125" style="584" customWidth="1"/>
    <col min="13831" max="13831" width="13.33203125" style="584" customWidth="1"/>
    <col min="13832" max="14081" width="9.33203125" style="584"/>
    <col min="14082" max="14082" width="43.5546875" style="584" customWidth="1"/>
    <col min="14083" max="14083" width="18" style="584" customWidth="1"/>
    <col min="14084" max="14084" width="17.33203125" style="584" customWidth="1"/>
    <col min="14085" max="14085" width="12.6640625" style="584" customWidth="1"/>
    <col min="14086" max="14086" width="14.33203125" style="584" customWidth="1"/>
    <col min="14087" max="14087" width="13.33203125" style="584" customWidth="1"/>
    <col min="14088" max="14337" width="9.33203125" style="584"/>
    <col min="14338" max="14338" width="43.5546875" style="584" customWidth="1"/>
    <col min="14339" max="14339" width="18" style="584" customWidth="1"/>
    <col min="14340" max="14340" width="17.33203125" style="584" customWidth="1"/>
    <col min="14341" max="14341" width="12.6640625" style="584" customWidth="1"/>
    <col min="14342" max="14342" width="14.33203125" style="584" customWidth="1"/>
    <col min="14343" max="14343" width="13.33203125" style="584" customWidth="1"/>
    <col min="14344" max="14593" width="9.33203125" style="584"/>
    <col min="14594" max="14594" width="43.5546875" style="584" customWidth="1"/>
    <col min="14595" max="14595" width="18" style="584" customWidth="1"/>
    <col min="14596" max="14596" width="17.33203125" style="584" customWidth="1"/>
    <col min="14597" max="14597" width="12.6640625" style="584" customWidth="1"/>
    <col min="14598" max="14598" width="14.33203125" style="584" customWidth="1"/>
    <col min="14599" max="14599" width="13.33203125" style="584" customWidth="1"/>
    <col min="14600" max="14849" width="9.33203125" style="584"/>
    <col min="14850" max="14850" width="43.5546875" style="584" customWidth="1"/>
    <col min="14851" max="14851" width="18" style="584" customWidth="1"/>
    <col min="14852" max="14852" width="17.33203125" style="584" customWidth="1"/>
    <col min="14853" max="14853" width="12.6640625" style="584" customWidth="1"/>
    <col min="14854" max="14854" width="14.33203125" style="584" customWidth="1"/>
    <col min="14855" max="14855" width="13.33203125" style="584" customWidth="1"/>
    <col min="14856" max="15105" width="9.33203125" style="584"/>
    <col min="15106" max="15106" width="43.5546875" style="584" customWidth="1"/>
    <col min="15107" max="15107" width="18" style="584" customWidth="1"/>
    <col min="15108" max="15108" width="17.33203125" style="584" customWidth="1"/>
    <col min="15109" max="15109" width="12.6640625" style="584" customWidth="1"/>
    <col min="15110" max="15110" width="14.33203125" style="584" customWidth="1"/>
    <col min="15111" max="15111" width="13.33203125" style="584" customWidth="1"/>
    <col min="15112" max="15361" width="9.33203125" style="584"/>
    <col min="15362" max="15362" width="43.5546875" style="584" customWidth="1"/>
    <col min="15363" max="15363" width="18" style="584" customWidth="1"/>
    <col min="15364" max="15364" width="17.33203125" style="584" customWidth="1"/>
    <col min="15365" max="15365" width="12.6640625" style="584" customWidth="1"/>
    <col min="15366" max="15366" width="14.33203125" style="584" customWidth="1"/>
    <col min="15367" max="15367" width="13.33203125" style="584" customWidth="1"/>
    <col min="15368" max="15617" width="9.33203125" style="584"/>
    <col min="15618" max="15618" width="43.5546875" style="584" customWidth="1"/>
    <col min="15619" max="15619" width="18" style="584" customWidth="1"/>
    <col min="15620" max="15620" width="17.33203125" style="584" customWidth="1"/>
    <col min="15621" max="15621" width="12.6640625" style="584" customWidth="1"/>
    <col min="15622" max="15622" width="14.33203125" style="584" customWidth="1"/>
    <col min="15623" max="15623" width="13.33203125" style="584" customWidth="1"/>
    <col min="15624" max="15873" width="9.33203125" style="584"/>
    <col min="15874" max="15874" width="43.5546875" style="584" customWidth="1"/>
    <col min="15875" max="15875" width="18" style="584" customWidth="1"/>
    <col min="15876" max="15876" width="17.33203125" style="584" customWidth="1"/>
    <col min="15877" max="15877" width="12.6640625" style="584" customWidth="1"/>
    <col min="15878" max="15878" width="14.33203125" style="584" customWidth="1"/>
    <col min="15879" max="15879" width="13.33203125" style="584" customWidth="1"/>
    <col min="15880" max="16129" width="9.33203125" style="584"/>
    <col min="16130" max="16130" width="43.5546875" style="584" customWidth="1"/>
    <col min="16131" max="16131" width="18" style="584" customWidth="1"/>
    <col min="16132" max="16132" width="17.33203125" style="584" customWidth="1"/>
    <col min="16133" max="16133" width="12.6640625" style="584" customWidth="1"/>
    <col min="16134" max="16134" width="14.33203125" style="584" customWidth="1"/>
    <col min="16135" max="16135" width="13.33203125" style="584" customWidth="1"/>
    <col min="16136" max="16384" width="9.33203125" style="584"/>
  </cols>
  <sheetData>
    <row r="1" spans="1:11" x14ac:dyDescent="0.2">
      <c r="A1" s="583"/>
    </row>
    <row r="2" spans="1:11" ht="13.2" x14ac:dyDescent="0.25">
      <c r="A2" s="399" t="s">
        <v>1059</v>
      </c>
      <c r="B2" s="585"/>
      <c r="C2" s="585"/>
      <c r="D2" s="585"/>
    </row>
    <row r="3" spans="1:11" x14ac:dyDescent="0.2">
      <c r="A3" s="585"/>
      <c r="B3" s="585"/>
      <c r="C3" s="585"/>
      <c r="D3" s="585"/>
    </row>
    <row r="4" spans="1:11" x14ac:dyDescent="0.2">
      <c r="A4" s="586" t="s">
        <v>890</v>
      </c>
      <c r="B4" s="585"/>
      <c r="C4" s="585"/>
      <c r="D4" s="585"/>
    </row>
    <row r="5" spans="1:11" x14ac:dyDescent="0.2">
      <c r="A5" s="586"/>
      <c r="B5" s="585"/>
      <c r="C5" s="585"/>
      <c r="D5" s="585"/>
    </row>
    <row r="6" spans="1:11" s="587" customFormat="1" ht="31.95" customHeight="1" x14ac:dyDescent="0.25">
      <c r="A6" s="580" t="s">
        <v>316</v>
      </c>
      <c r="B6" s="418" t="s">
        <v>785</v>
      </c>
      <c r="C6" s="418" t="s">
        <v>786</v>
      </c>
      <c r="D6" s="418" t="s">
        <v>831</v>
      </c>
      <c r="E6" s="418" t="s">
        <v>27</v>
      </c>
    </row>
    <row r="7" spans="1:11" s="590" customFormat="1" ht="13.2" x14ac:dyDescent="0.25">
      <c r="A7" s="588" t="s">
        <v>891</v>
      </c>
      <c r="B7" s="589">
        <f>B45</f>
        <v>2070869.06</v>
      </c>
      <c r="C7" s="589">
        <f t="shared" ref="C7:D7" si="0">C45</f>
        <v>281325</v>
      </c>
      <c r="D7" s="589">
        <f t="shared" si="0"/>
        <v>23730</v>
      </c>
      <c r="E7" s="589">
        <f>B7+C7+D7</f>
        <v>2375924.06</v>
      </c>
    </row>
    <row r="8" spans="1:11" s="591" customFormat="1" ht="13.2" hidden="1" x14ac:dyDescent="0.25">
      <c r="A8" s="588" t="s">
        <v>788</v>
      </c>
      <c r="B8" s="589">
        <v>0</v>
      </c>
      <c r="C8" s="589">
        <v>0</v>
      </c>
      <c r="D8" s="589">
        <v>0</v>
      </c>
      <c r="E8" s="589">
        <f t="shared" ref="E8:E9" si="1">B8+C8+D8</f>
        <v>0</v>
      </c>
    </row>
    <row r="9" spans="1:11" s="592" customFormat="1" ht="27.6" hidden="1" customHeight="1" x14ac:dyDescent="0.25">
      <c r="A9" s="588" t="s">
        <v>892</v>
      </c>
      <c r="B9" s="589">
        <f>B7+B8</f>
        <v>2070869.06</v>
      </c>
      <c r="C9" s="589">
        <f>C7+C8</f>
        <v>281325</v>
      </c>
      <c r="D9" s="589">
        <f>D7+D8</f>
        <v>23730</v>
      </c>
      <c r="E9" s="589">
        <f t="shared" si="1"/>
        <v>2375924.06</v>
      </c>
      <c r="K9" s="709"/>
    </row>
    <row r="10" spans="1:11" s="592" customFormat="1" ht="13.2" x14ac:dyDescent="0.25">
      <c r="A10" s="593" t="s">
        <v>101</v>
      </c>
      <c r="B10" s="594">
        <f>SUM(B11:B12)</f>
        <v>1215312</v>
      </c>
      <c r="C10" s="594">
        <f>SUM(C11:C12)</f>
        <v>0</v>
      </c>
      <c r="D10" s="594">
        <f>SUM(D11:D12)</f>
        <v>0</v>
      </c>
      <c r="E10" s="589">
        <f>B10+C10</f>
        <v>1215312</v>
      </c>
      <c r="K10" s="709"/>
    </row>
    <row r="11" spans="1:11" s="592" customFormat="1" ht="13.2" x14ac:dyDescent="0.25">
      <c r="A11" s="595" t="s">
        <v>441</v>
      </c>
      <c r="B11" s="596">
        <v>0</v>
      </c>
      <c r="C11" s="596">
        <v>0</v>
      </c>
      <c r="D11" s="596">
        <v>0</v>
      </c>
      <c r="E11" s="596">
        <f>B11+C11+D11</f>
        <v>0</v>
      </c>
      <c r="I11" s="710"/>
      <c r="K11" s="710"/>
    </row>
    <row r="12" spans="1:11" s="592" customFormat="1" ht="13.2" x14ac:dyDescent="0.25">
      <c r="A12" s="597" t="s">
        <v>158</v>
      </c>
      <c r="B12" s="596">
        <v>1215312</v>
      </c>
      <c r="C12" s="596">
        <v>0</v>
      </c>
      <c r="D12" s="596">
        <v>0</v>
      </c>
      <c r="E12" s="596">
        <f>B12+C12+D12</f>
        <v>1215312</v>
      </c>
      <c r="I12" s="710"/>
    </row>
    <row r="13" spans="1:11" s="599" customFormat="1" ht="13.2" x14ac:dyDescent="0.25">
      <c r="A13" s="593" t="s">
        <v>100</v>
      </c>
      <c r="B13" s="594">
        <f>SUM(B14:B16)</f>
        <v>673249</v>
      </c>
      <c r="C13" s="594">
        <f>SUM(C14:C16)</f>
        <v>0</v>
      </c>
      <c r="D13" s="594">
        <f>SUM(D14:D16)</f>
        <v>0</v>
      </c>
      <c r="E13" s="589">
        <f t="shared" ref="E13" si="2">B13+C13+D13</f>
        <v>673249</v>
      </c>
      <c r="H13" s="592"/>
      <c r="I13" s="592"/>
    </row>
    <row r="14" spans="1:11" s="592" customFormat="1" ht="13.2" x14ac:dyDescent="0.25">
      <c r="A14" s="597" t="s">
        <v>789</v>
      </c>
      <c r="B14" s="596">
        <v>0</v>
      </c>
      <c r="C14" s="596">
        <v>0</v>
      </c>
      <c r="D14" s="596">
        <v>0</v>
      </c>
      <c r="E14" s="596">
        <f>B14+C14+D14</f>
        <v>0</v>
      </c>
      <c r="I14" s="602"/>
    </row>
    <row r="15" spans="1:11" s="592" customFormat="1" ht="13.2" x14ac:dyDescent="0.25">
      <c r="A15" s="597" t="s">
        <v>928</v>
      </c>
      <c r="B15" s="596">
        <v>636973</v>
      </c>
      <c r="C15" s="596">
        <v>0</v>
      </c>
      <c r="D15" s="596">
        <v>0</v>
      </c>
      <c r="E15" s="596">
        <f>B15+C15+D15</f>
        <v>636973</v>
      </c>
      <c r="I15" s="602"/>
    </row>
    <row r="16" spans="1:11" s="590" customFormat="1" ht="13.2" x14ac:dyDescent="0.2">
      <c r="A16" s="597" t="s">
        <v>509</v>
      </c>
      <c r="B16" s="596">
        <v>36276</v>
      </c>
      <c r="C16" s="596">
        <v>0</v>
      </c>
      <c r="D16" s="596">
        <v>0</v>
      </c>
      <c r="E16" s="596">
        <f>B16+C16+D16</f>
        <v>36276</v>
      </c>
    </row>
    <row r="17" spans="1:5" s="602" customFormat="1" ht="13.8" thickBot="1" x14ac:dyDescent="0.3">
      <c r="A17" s="600" t="s">
        <v>893</v>
      </c>
      <c r="B17" s="601">
        <f>B9+B10-B13</f>
        <v>2612932.06</v>
      </c>
      <c r="C17" s="601">
        <f>C9+C10-C13</f>
        <v>281325</v>
      </c>
      <c r="D17" s="601">
        <f>D9+D10-D13</f>
        <v>23730</v>
      </c>
      <c r="E17" s="601">
        <f t="shared" ref="E17" si="3">B17+C17+D17</f>
        <v>2917987.06</v>
      </c>
    </row>
    <row r="18" spans="1:5" s="591" customFormat="1" ht="13.8" thickTop="1" x14ac:dyDescent="0.25">
      <c r="A18" s="603" t="s">
        <v>894</v>
      </c>
      <c r="B18" s="604">
        <f>B55</f>
        <v>690288</v>
      </c>
      <c r="C18" s="604">
        <f t="shared" ref="C18:D18" si="4">C55</f>
        <v>86675</v>
      </c>
      <c r="D18" s="604">
        <f t="shared" si="4"/>
        <v>1186</v>
      </c>
      <c r="E18" s="604">
        <f>B18+C18+D18</f>
        <v>778149</v>
      </c>
    </row>
    <row r="19" spans="1:5" s="592" customFormat="1" ht="13.2" hidden="1" x14ac:dyDescent="0.25">
      <c r="A19" s="605" t="s">
        <v>788</v>
      </c>
      <c r="B19" s="606">
        <v>0</v>
      </c>
      <c r="C19" s="606">
        <v>0</v>
      </c>
      <c r="D19" s="606">
        <v>0</v>
      </c>
      <c r="E19" s="589">
        <f t="shared" ref="E19:E21" si="5">B19+C19+D19</f>
        <v>0</v>
      </c>
    </row>
    <row r="20" spans="1:5" s="592" customFormat="1" ht="13.2" hidden="1" x14ac:dyDescent="0.25">
      <c r="A20" s="588" t="s">
        <v>895</v>
      </c>
      <c r="B20" s="607">
        <f>B18+B19</f>
        <v>690288</v>
      </c>
      <c r="C20" s="607">
        <f>C18+C19</f>
        <v>86675</v>
      </c>
      <c r="D20" s="607">
        <f>D18+D19</f>
        <v>1186</v>
      </c>
      <c r="E20" s="589">
        <f t="shared" si="5"/>
        <v>778149</v>
      </c>
    </row>
    <row r="21" spans="1:5" s="592" customFormat="1" ht="13.2" x14ac:dyDescent="0.25">
      <c r="A21" s="605" t="s">
        <v>101</v>
      </c>
      <c r="B21" s="607">
        <f>SUM(B22:B23)</f>
        <v>924583</v>
      </c>
      <c r="C21" s="607">
        <f>SUM(C22:C23)</f>
        <v>56268</v>
      </c>
      <c r="D21" s="607">
        <f>SUM(D22:D23)</f>
        <v>4746</v>
      </c>
      <c r="E21" s="589">
        <f t="shared" si="5"/>
        <v>985597</v>
      </c>
    </row>
    <row r="22" spans="1:5" s="592" customFormat="1" ht="13.2" x14ac:dyDescent="0.25">
      <c r="A22" s="597" t="s">
        <v>163</v>
      </c>
      <c r="B22" s="596">
        <v>924583</v>
      </c>
      <c r="C22" s="596">
        <v>56268</v>
      </c>
      <c r="D22" s="596">
        <v>4746</v>
      </c>
      <c r="E22" s="596">
        <f>B22+C22+D22</f>
        <v>985597</v>
      </c>
    </row>
    <row r="23" spans="1:5" s="592" customFormat="1" ht="13.2" hidden="1" x14ac:dyDescent="0.25">
      <c r="A23" s="597" t="s">
        <v>509</v>
      </c>
      <c r="B23" s="596">
        <v>0</v>
      </c>
      <c r="C23" s="596">
        <v>0</v>
      </c>
      <c r="D23" s="596">
        <v>0</v>
      </c>
      <c r="E23" s="596">
        <v>0</v>
      </c>
    </row>
    <row r="24" spans="1:5" s="599" customFormat="1" ht="13.2" x14ac:dyDescent="0.25">
      <c r="A24" s="593" t="s">
        <v>100</v>
      </c>
      <c r="B24" s="594">
        <f>SUM(B25:B27)</f>
        <v>372114</v>
      </c>
      <c r="C24" s="594">
        <f>SUM(C25:C27)</f>
        <v>0</v>
      </c>
      <c r="D24" s="594">
        <f>SUM(D25:D27)</f>
        <v>0</v>
      </c>
      <c r="E24" s="589">
        <f t="shared" ref="E24" si="6">B24+C24+D24</f>
        <v>372114</v>
      </c>
    </row>
    <row r="25" spans="1:5" s="587" customFormat="1" ht="13.2" hidden="1" x14ac:dyDescent="0.25">
      <c r="A25" s="597" t="s">
        <v>164</v>
      </c>
      <c r="B25" s="596">
        <v>0</v>
      </c>
      <c r="C25" s="596">
        <v>0</v>
      </c>
      <c r="D25" s="596">
        <v>0</v>
      </c>
      <c r="E25" s="596">
        <f>B25+C25+D25</f>
        <v>0</v>
      </c>
    </row>
    <row r="26" spans="1:5" s="587" customFormat="1" ht="13.2" x14ac:dyDescent="0.25">
      <c r="A26" s="595" t="s">
        <v>160</v>
      </c>
      <c r="B26" s="596">
        <v>372114</v>
      </c>
      <c r="C26" s="596">
        <v>0</v>
      </c>
      <c r="D26" s="596">
        <v>0</v>
      </c>
      <c r="E26" s="596">
        <f>B26+C26+D26</f>
        <v>372114</v>
      </c>
    </row>
    <row r="27" spans="1:5" s="591" customFormat="1" ht="13.2" hidden="1" x14ac:dyDescent="0.25">
      <c r="A27" s="597" t="s">
        <v>509</v>
      </c>
      <c r="B27" s="596">
        <v>0</v>
      </c>
      <c r="C27" s="596">
        <v>0</v>
      </c>
      <c r="D27" s="596">
        <v>0</v>
      </c>
      <c r="E27" s="596">
        <v>0</v>
      </c>
    </row>
    <row r="28" spans="1:5" s="602" customFormat="1" ht="13.8" thickBot="1" x14ac:dyDescent="0.3">
      <c r="A28" s="600" t="s">
        <v>896</v>
      </c>
      <c r="B28" s="601">
        <f>B20+B21-B24</f>
        <v>1242757</v>
      </c>
      <c r="C28" s="601">
        <f>C20+C21-C24</f>
        <v>142943</v>
      </c>
      <c r="D28" s="601">
        <f>D20+D21-D24</f>
        <v>5932</v>
      </c>
      <c r="E28" s="601">
        <f t="shared" ref="E28" si="7">B28+C28+D28</f>
        <v>1391632</v>
      </c>
    </row>
    <row r="29" spans="1:5" s="590" customFormat="1" ht="14.4" thickTop="1" thickBot="1" x14ac:dyDescent="0.25">
      <c r="A29" s="608" t="s">
        <v>897</v>
      </c>
      <c r="B29" s="609">
        <f>B17-B28</f>
        <v>1370175.06</v>
      </c>
      <c r="C29" s="609">
        <f>C17-C28</f>
        <v>138382</v>
      </c>
      <c r="D29" s="609">
        <f>D17-D28</f>
        <v>17798</v>
      </c>
      <c r="E29" s="601">
        <f t="shared" ref="E29" si="8">B29+C29+D29</f>
        <v>1526355.06</v>
      </c>
    </row>
    <row r="30" spans="1:5" ht="27.75" customHeight="1" thickTop="1" x14ac:dyDescent="0.2">
      <c r="B30" s="610"/>
      <c r="C30" s="610"/>
      <c r="D30" s="610"/>
      <c r="E30" s="611">
        <f>Aktywa!D6-E29</f>
        <v>-6.0000000055879354E-2</v>
      </c>
    </row>
    <row r="33" spans="1:5" x14ac:dyDescent="0.2">
      <c r="A33" s="586" t="s">
        <v>833</v>
      </c>
      <c r="B33" s="585"/>
      <c r="C33" s="585"/>
      <c r="D33" s="585"/>
    </row>
    <row r="34" spans="1:5" x14ac:dyDescent="0.2">
      <c r="A34" s="586"/>
      <c r="B34" s="585"/>
      <c r="C34" s="585"/>
      <c r="D34" s="585"/>
    </row>
    <row r="35" spans="1:5" ht="20.399999999999999" x14ac:dyDescent="0.2">
      <c r="A35" s="664" t="s">
        <v>316</v>
      </c>
      <c r="B35" s="418" t="s">
        <v>785</v>
      </c>
      <c r="C35" s="418" t="s">
        <v>786</v>
      </c>
      <c r="D35" s="418" t="s">
        <v>831</v>
      </c>
      <c r="E35" s="418" t="s">
        <v>27</v>
      </c>
    </row>
    <row r="36" spans="1:5" x14ac:dyDescent="0.2">
      <c r="A36" s="588" t="s">
        <v>787</v>
      </c>
      <c r="B36" s="589">
        <v>0</v>
      </c>
      <c r="C36" s="589">
        <v>0</v>
      </c>
      <c r="D36" s="589">
        <v>0</v>
      </c>
      <c r="E36" s="589">
        <f>B36+C36+D36</f>
        <v>0</v>
      </c>
    </row>
    <row r="37" spans="1:5" x14ac:dyDescent="0.2">
      <c r="A37" s="588" t="s">
        <v>788</v>
      </c>
      <c r="B37" s="589">
        <v>2070869.06</v>
      </c>
      <c r="C37" s="589">
        <v>337177</v>
      </c>
      <c r="D37" s="589">
        <v>0</v>
      </c>
      <c r="E37" s="589">
        <f t="shared" ref="E37:E38" si="9">B37+C37+D37</f>
        <v>2408046.06</v>
      </c>
    </row>
    <row r="38" spans="1:5" x14ac:dyDescent="0.2">
      <c r="A38" s="588" t="s">
        <v>796</v>
      </c>
      <c r="B38" s="589">
        <f>B36+B37</f>
        <v>2070869.06</v>
      </c>
      <c r="C38" s="589">
        <f>C36+C37</f>
        <v>337177</v>
      </c>
      <c r="D38" s="589">
        <f>D36+D37</f>
        <v>0</v>
      </c>
      <c r="E38" s="589">
        <f t="shared" si="9"/>
        <v>2408046.06</v>
      </c>
    </row>
    <row r="39" spans="1:5" x14ac:dyDescent="0.2">
      <c r="A39" s="593" t="s">
        <v>101</v>
      </c>
      <c r="B39" s="594">
        <f>SUM(B40:B41)</f>
        <v>0</v>
      </c>
      <c r="C39" s="594">
        <f>SUM(C40:C41)</f>
        <v>0</v>
      </c>
      <c r="D39" s="594">
        <f>SUM(D40:D41)</f>
        <v>23730</v>
      </c>
      <c r="E39" s="589">
        <f>B39+C39+D39</f>
        <v>23730</v>
      </c>
    </row>
    <row r="40" spans="1:5" hidden="1" x14ac:dyDescent="0.2">
      <c r="A40" s="595" t="s">
        <v>441</v>
      </c>
      <c r="B40" s="596">
        <v>0</v>
      </c>
      <c r="C40" s="596">
        <v>0</v>
      </c>
      <c r="D40" s="596">
        <v>0</v>
      </c>
      <c r="E40" s="596">
        <f>B40+C40+D40</f>
        <v>0</v>
      </c>
    </row>
    <row r="41" spans="1:5" x14ac:dyDescent="0.2">
      <c r="A41" s="597" t="s">
        <v>158</v>
      </c>
      <c r="B41" s="596">
        <v>0</v>
      </c>
      <c r="C41" s="596">
        <v>0</v>
      </c>
      <c r="D41" s="596">
        <v>23730</v>
      </c>
      <c r="E41" s="596">
        <f>B41+C41+D41</f>
        <v>23730</v>
      </c>
    </row>
    <row r="42" spans="1:5" x14ac:dyDescent="0.2">
      <c r="A42" s="593" t="s">
        <v>100</v>
      </c>
      <c r="B42" s="594">
        <f>SUM(B43:B44)</f>
        <v>0</v>
      </c>
      <c r="C42" s="594">
        <f>SUM(C43:C44)</f>
        <v>55852</v>
      </c>
      <c r="D42" s="594">
        <f>SUM(D43:D44)</f>
        <v>0</v>
      </c>
      <c r="E42" s="589">
        <f t="shared" ref="E42" si="10">B42+C42+D42</f>
        <v>55852</v>
      </c>
    </row>
    <row r="43" spans="1:5" x14ac:dyDescent="0.2">
      <c r="A43" s="597" t="s">
        <v>789</v>
      </c>
      <c r="B43" s="596">
        <v>0</v>
      </c>
      <c r="C43" s="596">
        <v>55852</v>
      </c>
      <c r="D43" s="596">
        <v>0</v>
      </c>
      <c r="E43" s="596">
        <f>B43+C43+D43</f>
        <v>55852</v>
      </c>
    </row>
    <row r="44" spans="1:5" hidden="1" x14ac:dyDescent="0.2">
      <c r="A44" s="597" t="s">
        <v>509</v>
      </c>
      <c r="B44" s="596">
        <v>0</v>
      </c>
      <c r="C44" s="596">
        <v>0</v>
      </c>
      <c r="D44" s="596"/>
      <c r="E44" s="596">
        <v>0</v>
      </c>
    </row>
    <row r="45" spans="1:5" ht="10.8" thickBot="1" x14ac:dyDescent="0.25">
      <c r="A45" s="600" t="s">
        <v>791</v>
      </c>
      <c r="B45" s="601">
        <f>B38+B39-B42</f>
        <v>2070869.06</v>
      </c>
      <c r="C45" s="601">
        <f>C38+C39-C42</f>
        <v>281325</v>
      </c>
      <c r="D45" s="601">
        <f>D38+D39-D42</f>
        <v>23730</v>
      </c>
      <c r="E45" s="601">
        <f t="shared" ref="E45" si="11">B45+C45+D45</f>
        <v>2375924.06</v>
      </c>
    </row>
    <row r="46" spans="1:5" ht="10.8" thickTop="1" x14ac:dyDescent="0.2">
      <c r="A46" s="603" t="s">
        <v>790</v>
      </c>
      <c r="B46" s="604">
        <v>0</v>
      </c>
      <c r="C46" s="604">
        <v>0</v>
      </c>
      <c r="D46" s="604">
        <v>0</v>
      </c>
      <c r="E46" s="604">
        <f>B46+C46</f>
        <v>0</v>
      </c>
    </row>
    <row r="47" spans="1:5" x14ac:dyDescent="0.2">
      <c r="A47" s="605" t="s">
        <v>788</v>
      </c>
      <c r="B47" s="606">
        <v>0</v>
      </c>
      <c r="C47" s="606">
        <v>57402</v>
      </c>
      <c r="D47" s="606">
        <v>0</v>
      </c>
      <c r="E47" s="589">
        <f t="shared" ref="E47:E49" si="12">B47+C47+D47</f>
        <v>57402</v>
      </c>
    </row>
    <row r="48" spans="1:5" x14ac:dyDescent="0.2">
      <c r="A48" s="588" t="s">
        <v>795</v>
      </c>
      <c r="B48" s="607">
        <f>B46+B47</f>
        <v>0</v>
      </c>
      <c r="C48" s="607">
        <f>C46+C47</f>
        <v>57402</v>
      </c>
      <c r="D48" s="607">
        <f>D46+D47</f>
        <v>0</v>
      </c>
      <c r="E48" s="589">
        <f t="shared" si="12"/>
        <v>57402</v>
      </c>
    </row>
    <row r="49" spans="1:5" x14ac:dyDescent="0.2">
      <c r="A49" s="605" t="s">
        <v>101</v>
      </c>
      <c r="B49" s="607">
        <f>SUM(B50:B51)</f>
        <v>690288</v>
      </c>
      <c r="C49" s="607">
        <f>SUM(C50:C51)</f>
        <v>65577</v>
      </c>
      <c r="D49" s="607">
        <f>SUM(D50:D51)</f>
        <v>1186</v>
      </c>
      <c r="E49" s="589">
        <f t="shared" si="12"/>
        <v>757051</v>
      </c>
    </row>
    <row r="50" spans="1:5" x14ac:dyDescent="0.2">
      <c r="A50" s="597" t="s">
        <v>163</v>
      </c>
      <c r="B50" s="596">
        <v>690288</v>
      </c>
      <c r="C50" s="596">
        <v>65577</v>
      </c>
      <c r="D50" s="596">
        <v>1186</v>
      </c>
      <c r="E50" s="596">
        <f>B50+C50+D50</f>
        <v>757051</v>
      </c>
    </row>
    <row r="51" spans="1:5" hidden="1" x14ac:dyDescent="0.2">
      <c r="A51" s="597" t="s">
        <v>509</v>
      </c>
      <c r="B51" s="596">
        <v>0</v>
      </c>
      <c r="C51" s="596">
        <v>0</v>
      </c>
      <c r="D51" s="596">
        <v>0</v>
      </c>
      <c r="E51" s="596">
        <v>0</v>
      </c>
    </row>
    <row r="52" spans="1:5" x14ac:dyDescent="0.2">
      <c r="A52" s="593" t="s">
        <v>100</v>
      </c>
      <c r="B52" s="594">
        <f>SUM(B53:B54)</f>
        <v>0</v>
      </c>
      <c r="C52" s="594">
        <f>SUM(C53:C54)</f>
        <v>36304</v>
      </c>
      <c r="D52" s="594">
        <f>SUM(D53:D54)</f>
        <v>0</v>
      </c>
      <c r="E52" s="589">
        <f t="shared" ref="E52" si="13">B52+C52+D52</f>
        <v>36304</v>
      </c>
    </row>
    <row r="53" spans="1:5" x14ac:dyDescent="0.2">
      <c r="A53" s="597" t="s">
        <v>164</v>
      </c>
      <c r="B53" s="596">
        <v>0</v>
      </c>
      <c r="C53" s="596">
        <v>36304</v>
      </c>
      <c r="D53" s="596">
        <v>0</v>
      </c>
      <c r="E53" s="596">
        <f>B53+C53+D53</f>
        <v>36304</v>
      </c>
    </row>
    <row r="54" spans="1:5" hidden="1" x14ac:dyDescent="0.2">
      <c r="A54" s="597" t="s">
        <v>509</v>
      </c>
      <c r="B54" s="596">
        <v>0</v>
      </c>
      <c r="C54" s="596">
        <v>0</v>
      </c>
      <c r="D54" s="596">
        <v>0</v>
      </c>
      <c r="E54" s="596">
        <v>0</v>
      </c>
    </row>
    <row r="55" spans="1:5" ht="10.8" thickBot="1" x14ac:dyDescent="0.25">
      <c r="A55" s="600" t="s">
        <v>792</v>
      </c>
      <c r="B55" s="601">
        <f>B48+B49-B52</f>
        <v>690288</v>
      </c>
      <c r="C55" s="601">
        <f>C48+C49-C52</f>
        <v>86675</v>
      </c>
      <c r="D55" s="601">
        <f>D48+D49-D52</f>
        <v>1186</v>
      </c>
      <c r="E55" s="601">
        <f t="shared" ref="E55:E56" si="14">B55+C55+D55</f>
        <v>778149</v>
      </c>
    </row>
    <row r="56" spans="1:5" ht="11.4" thickTop="1" thickBot="1" x14ac:dyDescent="0.25">
      <c r="A56" s="608" t="s">
        <v>771</v>
      </c>
      <c r="B56" s="609">
        <f>B45-B55</f>
        <v>1380581.06</v>
      </c>
      <c r="C56" s="609">
        <f>C45-C55</f>
        <v>194650</v>
      </c>
      <c r="D56" s="609">
        <f>D45-D55</f>
        <v>22544</v>
      </c>
      <c r="E56" s="601">
        <f t="shared" si="14"/>
        <v>1597775.06</v>
      </c>
    </row>
    <row r="57" spans="1:5" ht="10.8" thickTop="1" x14ac:dyDescent="0.2">
      <c r="B57" s="610"/>
      <c r="C57" s="610"/>
      <c r="D57" s="610"/>
      <c r="E57" s="611">
        <f>Aktywa!E6-E56</f>
        <v>-6.0000000055879354E-2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view="pageBreakPreview" zoomScaleNormal="100" workbookViewId="0">
      <selection activeCell="H35" sqref="H35"/>
    </sheetView>
  </sheetViews>
  <sheetFormatPr defaultColWidth="9.33203125" defaultRowHeight="10.199999999999999" x14ac:dyDescent="0.2"/>
  <cols>
    <col min="1" max="1" width="3.44140625" style="41" customWidth="1"/>
    <col min="2" max="2" width="41.33203125" style="41" customWidth="1"/>
    <col min="3" max="8" width="14.6640625" style="41" customWidth="1"/>
    <col min="9" max="16384" width="9.33203125" style="41"/>
  </cols>
  <sheetData>
    <row r="1" spans="2:10" s="44" customFormat="1" x14ac:dyDescent="0.2">
      <c r="B1" s="178"/>
    </row>
    <row r="2" spans="2:10" ht="16.5" customHeight="1" x14ac:dyDescent="0.25">
      <c r="B2" s="399" t="s">
        <v>1060</v>
      </c>
    </row>
    <row r="3" spans="2:10" ht="12" customHeight="1" x14ac:dyDescent="0.2">
      <c r="B3" s="3"/>
    </row>
    <row r="4" spans="2:10" s="44" customFormat="1" x14ac:dyDescent="0.2">
      <c r="B4" s="108" t="s">
        <v>309</v>
      </c>
      <c r="C4" s="103"/>
      <c r="D4" s="103"/>
      <c r="E4" s="41"/>
      <c r="F4" s="103"/>
      <c r="G4" s="103"/>
      <c r="H4" s="103"/>
      <c r="I4" s="206"/>
      <c r="J4" s="206"/>
    </row>
    <row r="5" spans="2:10" s="44" customFormat="1" x14ac:dyDescent="0.2">
      <c r="B5" s="108"/>
      <c r="C5" s="103"/>
      <c r="D5" s="103"/>
      <c r="E5" s="41"/>
      <c r="F5" s="103"/>
      <c r="G5" s="103"/>
      <c r="H5" s="103"/>
      <c r="I5" s="206"/>
      <c r="J5" s="206"/>
    </row>
    <row r="6" spans="2:10" x14ac:dyDescent="0.2">
      <c r="B6" s="110" t="s">
        <v>316</v>
      </c>
      <c r="C6" s="439">
        <f>'Dane podstawowe'!$B$9</f>
        <v>44196</v>
      </c>
      <c r="D6" s="439">
        <f>'Dane podstawowe'!$B$14</f>
        <v>43830</v>
      </c>
      <c r="E6" s="103"/>
    </row>
    <row r="7" spans="2:10" hidden="1" x14ac:dyDescent="0.2">
      <c r="B7" s="163" t="s">
        <v>798</v>
      </c>
      <c r="C7" s="77"/>
      <c r="D7" s="573">
        <v>0</v>
      </c>
      <c r="E7" s="103"/>
    </row>
    <row r="8" spans="2:10" hidden="1" x14ac:dyDescent="0.2">
      <c r="B8" s="163" t="s">
        <v>713</v>
      </c>
      <c r="C8" s="573"/>
      <c r="D8" s="573">
        <v>0</v>
      </c>
      <c r="E8" s="103"/>
    </row>
    <row r="9" spans="2:10" x14ac:dyDescent="0.2">
      <c r="B9" s="163" t="s">
        <v>692</v>
      </c>
      <c r="C9" s="77">
        <v>1141515</v>
      </c>
      <c r="D9" s="573">
        <v>1141515</v>
      </c>
      <c r="E9" s="103"/>
    </row>
    <row r="10" spans="2:10" x14ac:dyDescent="0.2">
      <c r="B10" s="163" t="s">
        <v>691</v>
      </c>
      <c r="C10" s="77">
        <v>679876</v>
      </c>
      <c r="D10" s="573">
        <v>679876</v>
      </c>
      <c r="E10" s="103"/>
    </row>
    <row r="11" spans="2:10" hidden="1" x14ac:dyDescent="0.2">
      <c r="B11" s="163" t="s">
        <v>714</v>
      </c>
      <c r="C11" s="77"/>
      <c r="D11" s="573">
        <v>0</v>
      </c>
      <c r="E11" s="103"/>
    </row>
    <row r="12" spans="2:10" hidden="1" x14ac:dyDescent="0.2">
      <c r="B12" s="163" t="s">
        <v>715</v>
      </c>
      <c r="C12" s="77"/>
      <c r="D12" s="573">
        <v>0</v>
      </c>
      <c r="E12" s="103"/>
    </row>
    <row r="13" spans="2:10" x14ac:dyDescent="0.2">
      <c r="B13" s="50" t="s">
        <v>151</v>
      </c>
      <c r="C13" s="120">
        <f>SUM(C7:C12)</f>
        <v>1821391</v>
      </c>
      <c r="D13" s="120">
        <f>SUM(D7:D12)</f>
        <v>1821391</v>
      </c>
      <c r="E13" s="103"/>
    </row>
    <row r="14" spans="2:10" x14ac:dyDescent="0.2">
      <c r="C14" s="305">
        <f>Aktywa!D7-'NOTA 12 - Wartość firmy'!C13</f>
        <v>0</v>
      </c>
      <c r="D14" s="305">
        <f>Aktywa!E7-'NOTA 12 - Wartość firmy'!D13</f>
        <v>0</v>
      </c>
      <c r="E14" s="103"/>
    </row>
    <row r="15" spans="2:10" x14ac:dyDescent="0.2">
      <c r="E15" s="103"/>
    </row>
    <row r="16" spans="2:10" x14ac:dyDescent="0.2">
      <c r="B16" s="52" t="s">
        <v>799</v>
      </c>
      <c r="E16" s="103"/>
    </row>
    <row r="17" spans="2:5" x14ac:dyDescent="0.2">
      <c r="B17" s="52"/>
      <c r="E17" s="103"/>
    </row>
    <row r="18" spans="2:5" x14ac:dyDescent="0.2">
      <c r="B18" s="101" t="s">
        <v>316</v>
      </c>
      <c r="C18" s="439">
        <f>'Dane podstawowe'!$B$9</f>
        <v>44196</v>
      </c>
      <c r="D18" s="439">
        <f>'Dane podstawowe'!$B$14</f>
        <v>43830</v>
      </c>
      <c r="E18" s="103"/>
    </row>
    <row r="19" spans="2:5" x14ac:dyDescent="0.2">
      <c r="B19" s="57" t="s">
        <v>102</v>
      </c>
      <c r="C19" s="131">
        <f>D30</f>
        <v>1821391</v>
      </c>
      <c r="D19" s="131">
        <v>2064843</v>
      </c>
      <c r="E19" s="103"/>
    </row>
    <row r="20" spans="2:5" x14ac:dyDescent="0.2">
      <c r="B20" s="3" t="s">
        <v>101</v>
      </c>
      <c r="C20" s="236">
        <f>SUM(C21:C24)</f>
        <v>0</v>
      </c>
      <c r="D20" s="236">
        <f>SUM(D21:D24)</f>
        <v>0</v>
      </c>
      <c r="E20" s="103"/>
    </row>
    <row r="21" spans="2:5" hidden="1" x14ac:dyDescent="0.2">
      <c r="B21" s="216" t="s">
        <v>306</v>
      </c>
      <c r="C21" s="216">
        <v>0</v>
      </c>
      <c r="D21" s="216">
        <v>0</v>
      </c>
      <c r="E21" s="103"/>
    </row>
    <row r="22" spans="2:5" hidden="1" x14ac:dyDescent="0.2">
      <c r="B22" s="539" t="s">
        <v>716</v>
      </c>
      <c r="C22" s="216">
        <v>0</v>
      </c>
      <c r="D22" s="216">
        <v>0</v>
      </c>
      <c r="E22" s="103"/>
    </row>
    <row r="23" spans="2:5" ht="20.399999999999999" hidden="1" x14ac:dyDescent="0.2">
      <c r="B23" s="316" t="s">
        <v>165</v>
      </c>
      <c r="C23" s="216">
        <v>0</v>
      </c>
      <c r="D23" s="216">
        <v>0</v>
      </c>
      <c r="E23" s="103"/>
    </row>
    <row r="24" spans="2:5" hidden="1" x14ac:dyDescent="0.2">
      <c r="B24" s="216" t="s">
        <v>307</v>
      </c>
      <c r="C24" s="216">
        <v>0</v>
      </c>
      <c r="D24" s="216">
        <v>0</v>
      </c>
      <c r="E24" s="103"/>
    </row>
    <row r="25" spans="2:5" x14ac:dyDescent="0.2">
      <c r="B25" s="236" t="s">
        <v>100</v>
      </c>
      <c r="C25" s="236">
        <f>SUM(C26:C29)</f>
        <v>0</v>
      </c>
      <c r="D25" s="236">
        <f>SUM(D26:D29)</f>
        <v>243452</v>
      </c>
      <c r="E25" s="103"/>
    </row>
    <row r="26" spans="2:5" hidden="1" x14ac:dyDescent="0.2">
      <c r="B26" s="216" t="s">
        <v>368</v>
      </c>
      <c r="C26" s="216">
        <v>0</v>
      </c>
      <c r="D26" s="216">
        <v>0</v>
      </c>
      <c r="E26" s="103"/>
    </row>
    <row r="27" spans="2:5" x14ac:dyDescent="0.2">
      <c r="B27" s="539" t="s">
        <v>905</v>
      </c>
      <c r="C27" s="216">
        <v>0</v>
      </c>
      <c r="D27" s="216">
        <v>243452</v>
      </c>
      <c r="E27" s="103"/>
    </row>
    <row r="28" spans="2:5" ht="20.399999999999999" hidden="1" x14ac:dyDescent="0.2">
      <c r="B28" s="316" t="s">
        <v>170</v>
      </c>
      <c r="C28" s="216">
        <v>0</v>
      </c>
      <c r="D28" s="216">
        <v>0</v>
      </c>
      <c r="E28" s="103"/>
    </row>
    <row r="29" spans="2:5" s="44" customFormat="1" ht="20.399999999999999" hidden="1" x14ac:dyDescent="0.2">
      <c r="B29" s="316" t="s">
        <v>165</v>
      </c>
      <c r="C29" s="216">
        <v>0</v>
      </c>
      <c r="D29" s="216">
        <v>0</v>
      </c>
      <c r="E29" s="103"/>
    </row>
    <row r="30" spans="2:5" x14ac:dyDescent="0.2">
      <c r="B30" s="57" t="s">
        <v>103</v>
      </c>
      <c r="C30" s="131">
        <f>C19+C20-C25</f>
        <v>1821391</v>
      </c>
      <c r="D30" s="131">
        <f>D19+D20-D25</f>
        <v>1821391</v>
      </c>
      <c r="E30" s="103"/>
    </row>
    <row r="31" spans="2:5" x14ac:dyDescent="0.2">
      <c r="B31" s="57"/>
      <c r="C31" s="131"/>
      <c r="D31" s="131"/>
      <c r="E31" s="103"/>
    </row>
    <row r="32" spans="2:5" ht="20.399999999999999" x14ac:dyDescent="0.2">
      <c r="B32" s="57" t="s">
        <v>104</v>
      </c>
      <c r="C32" s="132">
        <f>D35</f>
        <v>0</v>
      </c>
      <c r="D32" s="132">
        <v>0</v>
      </c>
      <c r="E32" s="103"/>
    </row>
    <row r="33" spans="2:8" ht="20.399999999999999" x14ac:dyDescent="0.2">
      <c r="B33" s="215" t="s">
        <v>308</v>
      </c>
      <c r="C33" s="216">
        <v>0</v>
      </c>
      <c r="D33" s="216">
        <v>0</v>
      </c>
      <c r="E33" s="103"/>
    </row>
    <row r="34" spans="2:8" x14ac:dyDescent="0.2">
      <c r="B34" s="215" t="s">
        <v>317</v>
      </c>
      <c r="C34" s="216">
        <v>0</v>
      </c>
      <c r="D34" s="216">
        <v>0</v>
      </c>
      <c r="E34" s="103"/>
    </row>
    <row r="35" spans="2:8" s="42" customFormat="1" ht="20.399999999999999" x14ac:dyDescent="0.25">
      <c r="B35" s="99" t="s">
        <v>105</v>
      </c>
      <c r="C35" s="132">
        <f>SUM(C32:C34)</f>
        <v>0</v>
      </c>
      <c r="D35" s="132">
        <f>SUM(D32:D34)</f>
        <v>0</v>
      </c>
      <c r="E35" s="103"/>
    </row>
    <row r="36" spans="2:8" s="42" customFormat="1" ht="8.25" customHeight="1" x14ac:dyDescent="0.25">
      <c r="B36" s="99"/>
      <c r="C36" s="132"/>
      <c r="D36" s="132"/>
      <c r="E36" s="103"/>
    </row>
    <row r="37" spans="2:8" x14ac:dyDescent="0.2">
      <c r="B37" s="53" t="s">
        <v>151</v>
      </c>
      <c r="C37" s="90">
        <f>C30-C35</f>
        <v>1821391</v>
      </c>
      <c r="D37" s="90">
        <f>D30-D35</f>
        <v>1821391</v>
      </c>
      <c r="E37" s="103"/>
    </row>
    <row r="38" spans="2:8" x14ac:dyDescent="0.2">
      <c r="C38" s="305">
        <f>Aktywa!D7-'NOTA 12 - Wartość firmy'!C37</f>
        <v>0</v>
      </c>
      <c r="D38" s="305">
        <f>Aktywa!E7-'NOTA 12 - Wartość firmy'!D37</f>
        <v>0</v>
      </c>
      <c r="E38" s="103"/>
    </row>
    <row r="39" spans="2:8" x14ac:dyDescent="0.2">
      <c r="F39" s="103"/>
    </row>
    <row r="40" spans="2:8" hidden="1" x14ac:dyDescent="0.2">
      <c r="B40" s="54" t="str">
        <f>CONCATENATE("Połączenia jednostek gospodarczych za okres od ",'Dane podstawowe'!B7)</f>
        <v>Połączenia jednostek gospodarczych za okres od 01.01.2020-31.12.2020</v>
      </c>
    </row>
    <row r="41" spans="2:8" hidden="1" x14ac:dyDescent="0.2">
      <c r="B41" s="54"/>
    </row>
    <row r="42" spans="2:8" s="42" customFormat="1" ht="71.400000000000006" hidden="1" x14ac:dyDescent="0.25">
      <c r="B42" s="71" t="s">
        <v>316</v>
      </c>
      <c r="C42" s="71" t="s">
        <v>72</v>
      </c>
      <c r="D42" s="71" t="s">
        <v>73</v>
      </c>
      <c r="E42" s="71" t="s">
        <v>74</v>
      </c>
      <c r="F42" s="71" t="s">
        <v>75</v>
      </c>
      <c r="G42" s="71" t="s">
        <v>152</v>
      </c>
      <c r="H42" s="71" t="s">
        <v>153</v>
      </c>
    </row>
    <row r="43" spans="2:8" s="44" customFormat="1" hidden="1" x14ac:dyDescent="0.2">
      <c r="B43" s="112" t="s">
        <v>618</v>
      </c>
      <c r="C43" s="243"/>
      <c r="D43" s="169"/>
      <c r="E43" s="169"/>
      <c r="F43" s="169"/>
      <c r="G43" s="169"/>
      <c r="H43" s="169"/>
    </row>
    <row r="44" spans="2:8" s="44" customFormat="1" hidden="1" x14ac:dyDescent="0.2">
      <c r="B44" s="112" t="s">
        <v>617</v>
      </c>
      <c r="C44" s="243"/>
      <c r="D44" s="169"/>
      <c r="E44" s="169"/>
      <c r="F44" s="169"/>
      <c r="G44" s="169"/>
      <c r="H44" s="169"/>
    </row>
    <row r="45" spans="2:8" hidden="1" x14ac:dyDescent="0.2">
      <c r="B45" s="47" t="s">
        <v>76</v>
      </c>
      <c r="C45" s="152" t="s">
        <v>0</v>
      </c>
      <c r="D45" s="152" t="s">
        <v>0</v>
      </c>
      <c r="E45" s="152">
        <f>SUM(E43:E44)</f>
        <v>0</v>
      </c>
      <c r="F45" s="152">
        <f>SUM(F43:F44)</f>
        <v>0</v>
      </c>
      <c r="G45" s="152">
        <f>SUM(G43:G44)</f>
        <v>0</v>
      </c>
      <c r="H45" s="152">
        <f>SUM(H43:H44)</f>
        <v>0</v>
      </c>
    </row>
  </sheetData>
  <phoneticPr fontId="36" type="noConversion"/>
  <pageMargins left="0.75" right="0.75" top="1" bottom="1" header="0.5" footer="0.5"/>
  <pageSetup paperSize="9" scale="6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I73"/>
  <sheetViews>
    <sheetView showGridLines="0" zoomScaleNormal="100" zoomScaleSheetLayoutView="100" workbookViewId="0">
      <selection activeCell="A65" sqref="A65"/>
    </sheetView>
  </sheetViews>
  <sheetFormatPr defaultRowHeight="10.199999999999999" x14ac:dyDescent="0.2"/>
  <cols>
    <col min="1" max="1" width="45.6640625" style="44" customWidth="1"/>
    <col min="2" max="3" width="14.33203125" style="44" customWidth="1"/>
    <col min="4" max="4" width="13.6640625" style="44" customWidth="1"/>
    <col min="5" max="5" width="13.5546875" style="44" customWidth="1"/>
    <col min="6" max="6" width="13.6640625" style="44" customWidth="1"/>
    <col min="7" max="7" width="23.33203125" style="44" customWidth="1"/>
    <col min="8" max="8" width="12.6640625" style="44" customWidth="1"/>
    <col min="9" max="9" width="13.33203125" style="44" customWidth="1"/>
    <col min="10" max="256" width="9.33203125" style="44"/>
    <col min="257" max="257" width="45.6640625" style="44" customWidth="1"/>
    <col min="258" max="259" width="14.33203125" style="44" customWidth="1"/>
    <col min="260" max="260" width="13.6640625" style="44" customWidth="1"/>
    <col min="261" max="261" width="13.5546875" style="44" customWidth="1"/>
    <col min="262" max="262" width="13.6640625" style="44" customWidth="1"/>
    <col min="263" max="263" width="18.6640625" style="44" customWidth="1"/>
    <col min="264" max="264" width="12.6640625" style="44" customWidth="1"/>
    <col min="265" max="265" width="13.33203125" style="44" customWidth="1"/>
    <col min="266" max="512" width="9.33203125" style="44"/>
    <col min="513" max="513" width="45.6640625" style="44" customWidth="1"/>
    <col min="514" max="515" width="14.33203125" style="44" customWidth="1"/>
    <col min="516" max="516" width="13.6640625" style="44" customWidth="1"/>
    <col min="517" max="517" width="13.5546875" style="44" customWidth="1"/>
    <col min="518" max="518" width="13.6640625" style="44" customWidth="1"/>
    <col min="519" max="519" width="18.6640625" style="44" customWidth="1"/>
    <col min="520" max="520" width="12.6640625" style="44" customWidth="1"/>
    <col min="521" max="521" width="13.33203125" style="44" customWidth="1"/>
    <col min="522" max="768" width="9.33203125" style="44"/>
    <col min="769" max="769" width="45.6640625" style="44" customWidth="1"/>
    <col min="770" max="771" width="14.33203125" style="44" customWidth="1"/>
    <col min="772" max="772" width="13.6640625" style="44" customWidth="1"/>
    <col min="773" max="773" width="13.5546875" style="44" customWidth="1"/>
    <col min="774" max="774" width="13.6640625" style="44" customWidth="1"/>
    <col min="775" max="775" width="18.6640625" style="44" customWidth="1"/>
    <col min="776" max="776" width="12.6640625" style="44" customWidth="1"/>
    <col min="777" max="777" width="13.33203125" style="44" customWidth="1"/>
    <col min="778" max="1024" width="9.33203125" style="44"/>
    <col min="1025" max="1025" width="45.6640625" style="44" customWidth="1"/>
    <col min="1026" max="1027" width="14.33203125" style="44" customWidth="1"/>
    <col min="1028" max="1028" width="13.6640625" style="44" customWidth="1"/>
    <col min="1029" max="1029" width="13.5546875" style="44" customWidth="1"/>
    <col min="1030" max="1030" width="13.6640625" style="44" customWidth="1"/>
    <col min="1031" max="1031" width="18.6640625" style="44" customWidth="1"/>
    <col min="1032" max="1032" width="12.6640625" style="44" customWidth="1"/>
    <col min="1033" max="1033" width="13.33203125" style="44" customWidth="1"/>
    <col min="1034" max="1280" width="9.33203125" style="44"/>
    <col min="1281" max="1281" width="45.6640625" style="44" customWidth="1"/>
    <col min="1282" max="1283" width="14.33203125" style="44" customWidth="1"/>
    <col min="1284" max="1284" width="13.6640625" style="44" customWidth="1"/>
    <col min="1285" max="1285" width="13.5546875" style="44" customWidth="1"/>
    <col min="1286" max="1286" width="13.6640625" style="44" customWidth="1"/>
    <col min="1287" max="1287" width="18.6640625" style="44" customWidth="1"/>
    <col min="1288" max="1288" width="12.6640625" style="44" customWidth="1"/>
    <col min="1289" max="1289" width="13.33203125" style="44" customWidth="1"/>
    <col min="1290" max="1536" width="9.33203125" style="44"/>
    <col min="1537" max="1537" width="45.6640625" style="44" customWidth="1"/>
    <col min="1538" max="1539" width="14.33203125" style="44" customWidth="1"/>
    <col min="1540" max="1540" width="13.6640625" style="44" customWidth="1"/>
    <col min="1541" max="1541" width="13.5546875" style="44" customWidth="1"/>
    <col min="1542" max="1542" width="13.6640625" style="44" customWidth="1"/>
    <col min="1543" max="1543" width="18.6640625" style="44" customWidth="1"/>
    <col min="1544" max="1544" width="12.6640625" style="44" customWidth="1"/>
    <col min="1545" max="1545" width="13.33203125" style="44" customWidth="1"/>
    <col min="1546" max="1792" width="9.33203125" style="44"/>
    <col min="1793" max="1793" width="45.6640625" style="44" customWidth="1"/>
    <col min="1794" max="1795" width="14.33203125" style="44" customWidth="1"/>
    <col min="1796" max="1796" width="13.6640625" style="44" customWidth="1"/>
    <col min="1797" max="1797" width="13.5546875" style="44" customWidth="1"/>
    <col min="1798" max="1798" width="13.6640625" style="44" customWidth="1"/>
    <col min="1799" max="1799" width="18.6640625" style="44" customWidth="1"/>
    <col min="1800" max="1800" width="12.6640625" style="44" customWidth="1"/>
    <col min="1801" max="1801" width="13.33203125" style="44" customWidth="1"/>
    <col min="1802" max="2048" width="9.33203125" style="44"/>
    <col min="2049" max="2049" width="45.6640625" style="44" customWidth="1"/>
    <col min="2050" max="2051" width="14.33203125" style="44" customWidth="1"/>
    <col min="2052" max="2052" width="13.6640625" style="44" customWidth="1"/>
    <col min="2053" max="2053" width="13.5546875" style="44" customWidth="1"/>
    <col min="2054" max="2054" width="13.6640625" style="44" customWidth="1"/>
    <col min="2055" max="2055" width="18.6640625" style="44" customWidth="1"/>
    <col min="2056" max="2056" width="12.6640625" style="44" customWidth="1"/>
    <col min="2057" max="2057" width="13.33203125" style="44" customWidth="1"/>
    <col min="2058" max="2304" width="9.33203125" style="44"/>
    <col min="2305" max="2305" width="45.6640625" style="44" customWidth="1"/>
    <col min="2306" max="2307" width="14.33203125" style="44" customWidth="1"/>
    <col min="2308" max="2308" width="13.6640625" style="44" customWidth="1"/>
    <col min="2309" max="2309" width="13.5546875" style="44" customWidth="1"/>
    <col min="2310" max="2310" width="13.6640625" style="44" customWidth="1"/>
    <col min="2311" max="2311" width="18.6640625" style="44" customWidth="1"/>
    <col min="2312" max="2312" width="12.6640625" style="44" customWidth="1"/>
    <col min="2313" max="2313" width="13.33203125" style="44" customWidth="1"/>
    <col min="2314" max="2560" width="9.33203125" style="44"/>
    <col min="2561" max="2561" width="45.6640625" style="44" customWidth="1"/>
    <col min="2562" max="2563" width="14.33203125" style="44" customWidth="1"/>
    <col min="2564" max="2564" width="13.6640625" style="44" customWidth="1"/>
    <col min="2565" max="2565" width="13.5546875" style="44" customWidth="1"/>
    <col min="2566" max="2566" width="13.6640625" style="44" customWidth="1"/>
    <col min="2567" max="2567" width="18.6640625" style="44" customWidth="1"/>
    <col min="2568" max="2568" width="12.6640625" style="44" customWidth="1"/>
    <col min="2569" max="2569" width="13.33203125" style="44" customWidth="1"/>
    <col min="2570" max="2816" width="9.33203125" style="44"/>
    <col min="2817" max="2817" width="45.6640625" style="44" customWidth="1"/>
    <col min="2818" max="2819" width="14.33203125" style="44" customWidth="1"/>
    <col min="2820" max="2820" width="13.6640625" style="44" customWidth="1"/>
    <col min="2821" max="2821" width="13.5546875" style="44" customWidth="1"/>
    <col min="2822" max="2822" width="13.6640625" style="44" customWidth="1"/>
    <col min="2823" max="2823" width="18.6640625" style="44" customWidth="1"/>
    <col min="2824" max="2824" width="12.6640625" style="44" customWidth="1"/>
    <col min="2825" max="2825" width="13.33203125" style="44" customWidth="1"/>
    <col min="2826" max="3072" width="9.33203125" style="44"/>
    <col min="3073" max="3073" width="45.6640625" style="44" customWidth="1"/>
    <col min="3074" max="3075" width="14.33203125" style="44" customWidth="1"/>
    <col min="3076" max="3076" width="13.6640625" style="44" customWidth="1"/>
    <col min="3077" max="3077" width="13.5546875" style="44" customWidth="1"/>
    <col min="3078" max="3078" width="13.6640625" style="44" customWidth="1"/>
    <col min="3079" max="3079" width="18.6640625" style="44" customWidth="1"/>
    <col min="3080" max="3080" width="12.6640625" style="44" customWidth="1"/>
    <col min="3081" max="3081" width="13.33203125" style="44" customWidth="1"/>
    <col min="3082" max="3328" width="9.33203125" style="44"/>
    <col min="3329" max="3329" width="45.6640625" style="44" customWidth="1"/>
    <col min="3330" max="3331" width="14.33203125" style="44" customWidth="1"/>
    <col min="3332" max="3332" width="13.6640625" style="44" customWidth="1"/>
    <col min="3333" max="3333" width="13.5546875" style="44" customWidth="1"/>
    <col min="3334" max="3334" width="13.6640625" style="44" customWidth="1"/>
    <col min="3335" max="3335" width="18.6640625" style="44" customWidth="1"/>
    <col min="3336" max="3336" width="12.6640625" style="44" customWidth="1"/>
    <col min="3337" max="3337" width="13.33203125" style="44" customWidth="1"/>
    <col min="3338" max="3584" width="9.33203125" style="44"/>
    <col min="3585" max="3585" width="45.6640625" style="44" customWidth="1"/>
    <col min="3586" max="3587" width="14.33203125" style="44" customWidth="1"/>
    <col min="3588" max="3588" width="13.6640625" style="44" customWidth="1"/>
    <col min="3589" max="3589" width="13.5546875" style="44" customWidth="1"/>
    <col min="3590" max="3590" width="13.6640625" style="44" customWidth="1"/>
    <col min="3591" max="3591" width="18.6640625" style="44" customWidth="1"/>
    <col min="3592" max="3592" width="12.6640625" style="44" customWidth="1"/>
    <col min="3593" max="3593" width="13.33203125" style="44" customWidth="1"/>
    <col min="3594" max="3840" width="9.33203125" style="44"/>
    <col min="3841" max="3841" width="45.6640625" style="44" customWidth="1"/>
    <col min="3842" max="3843" width="14.33203125" style="44" customWidth="1"/>
    <col min="3844" max="3844" width="13.6640625" style="44" customWidth="1"/>
    <col min="3845" max="3845" width="13.5546875" style="44" customWidth="1"/>
    <col min="3846" max="3846" width="13.6640625" style="44" customWidth="1"/>
    <col min="3847" max="3847" width="18.6640625" style="44" customWidth="1"/>
    <col min="3848" max="3848" width="12.6640625" style="44" customWidth="1"/>
    <col min="3849" max="3849" width="13.33203125" style="44" customWidth="1"/>
    <col min="3850" max="4096" width="9.33203125" style="44"/>
    <col min="4097" max="4097" width="45.6640625" style="44" customWidth="1"/>
    <col min="4098" max="4099" width="14.33203125" style="44" customWidth="1"/>
    <col min="4100" max="4100" width="13.6640625" style="44" customWidth="1"/>
    <col min="4101" max="4101" width="13.5546875" style="44" customWidth="1"/>
    <col min="4102" max="4102" width="13.6640625" style="44" customWidth="1"/>
    <col min="4103" max="4103" width="18.6640625" style="44" customWidth="1"/>
    <col min="4104" max="4104" width="12.6640625" style="44" customWidth="1"/>
    <col min="4105" max="4105" width="13.33203125" style="44" customWidth="1"/>
    <col min="4106" max="4352" width="9.33203125" style="44"/>
    <col min="4353" max="4353" width="45.6640625" style="44" customWidth="1"/>
    <col min="4354" max="4355" width="14.33203125" style="44" customWidth="1"/>
    <col min="4356" max="4356" width="13.6640625" style="44" customWidth="1"/>
    <col min="4357" max="4357" width="13.5546875" style="44" customWidth="1"/>
    <col min="4358" max="4358" width="13.6640625" style="44" customWidth="1"/>
    <col min="4359" max="4359" width="18.6640625" style="44" customWidth="1"/>
    <col min="4360" max="4360" width="12.6640625" style="44" customWidth="1"/>
    <col min="4361" max="4361" width="13.33203125" style="44" customWidth="1"/>
    <col min="4362" max="4608" width="9.33203125" style="44"/>
    <col min="4609" max="4609" width="45.6640625" style="44" customWidth="1"/>
    <col min="4610" max="4611" width="14.33203125" style="44" customWidth="1"/>
    <col min="4612" max="4612" width="13.6640625" style="44" customWidth="1"/>
    <col min="4613" max="4613" width="13.5546875" style="44" customWidth="1"/>
    <col min="4614" max="4614" width="13.6640625" style="44" customWidth="1"/>
    <col min="4615" max="4615" width="18.6640625" style="44" customWidth="1"/>
    <col min="4616" max="4616" width="12.6640625" style="44" customWidth="1"/>
    <col min="4617" max="4617" width="13.33203125" style="44" customWidth="1"/>
    <col min="4618" max="4864" width="9.33203125" style="44"/>
    <col min="4865" max="4865" width="45.6640625" style="44" customWidth="1"/>
    <col min="4866" max="4867" width="14.33203125" style="44" customWidth="1"/>
    <col min="4868" max="4868" width="13.6640625" style="44" customWidth="1"/>
    <col min="4869" max="4869" width="13.5546875" style="44" customWidth="1"/>
    <col min="4870" max="4870" width="13.6640625" style="44" customWidth="1"/>
    <col min="4871" max="4871" width="18.6640625" style="44" customWidth="1"/>
    <col min="4872" max="4872" width="12.6640625" style="44" customWidth="1"/>
    <col min="4873" max="4873" width="13.33203125" style="44" customWidth="1"/>
    <col min="4874" max="5120" width="9.33203125" style="44"/>
    <col min="5121" max="5121" width="45.6640625" style="44" customWidth="1"/>
    <col min="5122" max="5123" width="14.33203125" style="44" customWidth="1"/>
    <col min="5124" max="5124" width="13.6640625" style="44" customWidth="1"/>
    <col min="5125" max="5125" width="13.5546875" style="44" customWidth="1"/>
    <col min="5126" max="5126" width="13.6640625" style="44" customWidth="1"/>
    <col min="5127" max="5127" width="18.6640625" style="44" customWidth="1"/>
    <col min="5128" max="5128" width="12.6640625" style="44" customWidth="1"/>
    <col min="5129" max="5129" width="13.33203125" style="44" customWidth="1"/>
    <col min="5130" max="5376" width="9.33203125" style="44"/>
    <col min="5377" max="5377" width="45.6640625" style="44" customWidth="1"/>
    <col min="5378" max="5379" width="14.33203125" style="44" customWidth="1"/>
    <col min="5380" max="5380" width="13.6640625" style="44" customWidth="1"/>
    <col min="5381" max="5381" width="13.5546875" style="44" customWidth="1"/>
    <col min="5382" max="5382" width="13.6640625" style="44" customWidth="1"/>
    <col min="5383" max="5383" width="18.6640625" style="44" customWidth="1"/>
    <col min="5384" max="5384" width="12.6640625" style="44" customWidth="1"/>
    <col min="5385" max="5385" width="13.33203125" style="44" customWidth="1"/>
    <col min="5386" max="5632" width="9.33203125" style="44"/>
    <col min="5633" max="5633" width="45.6640625" style="44" customWidth="1"/>
    <col min="5634" max="5635" width="14.33203125" style="44" customWidth="1"/>
    <col min="5636" max="5636" width="13.6640625" style="44" customWidth="1"/>
    <col min="5637" max="5637" width="13.5546875" style="44" customWidth="1"/>
    <col min="5638" max="5638" width="13.6640625" style="44" customWidth="1"/>
    <col min="5639" max="5639" width="18.6640625" style="44" customWidth="1"/>
    <col min="5640" max="5640" width="12.6640625" style="44" customWidth="1"/>
    <col min="5641" max="5641" width="13.33203125" style="44" customWidth="1"/>
    <col min="5642" max="5888" width="9.33203125" style="44"/>
    <col min="5889" max="5889" width="45.6640625" style="44" customWidth="1"/>
    <col min="5890" max="5891" width="14.33203125" style="44" customWidth="1"/>
    <col min="5892" max="5892" width="13.6640625" style="44" customWidth="1"/>
    <col min="5893" max="5893" width="13.5546875" style="44" customWidth="1"/>
    <col min="5894" max="5894" width="13.6640625" style="44" customWidth="1"/>
    <col min="5895" max="5895" width="18.6640625" style="44" customWidth="1"/>
    <col min="5896" max="5896" width="12.6640625" style="44" customWidth="1"/>
    <col min="5897" max="5897" width="13.33203125" style="44" customWidth="1"/>
    <col min="5898" max="6144" width="9.33203125" style="44"/>
    <col min="6145" max="6145" width="45.6640625" style="44" customWidth="1"/>
    <col min="6146" max="6147" width="14.33203125" style="44" customWidth="1"/>
    <col min="6148" max="6148" width="13.6640625" style="44" customWidth="1"/>
    <col min="6149" max="6149" width="13.5546875" style="44" customWidth="1"/>
    <col min="6150" max="6150" width="13.6640625" style="44" customWidth="1"/>
    <col min="6151" max="6151" width="18.6640625" style="44" customWidth="1"/>
    <col min="6152" max="6152" width="12.6640625" style="44" customWidth="1"/>
    <col min="6153" max="6153" width="13.33203125" style="44" customWidth="1"/>
    <col min="6154" max="6400" width="9.33203125" style="44"/>
    <col min="6401" max="6401" width="45.6640625" style="44" customWidth="1"/>
    <col min="6402" max="6403" width="14.33203125" style="44" customWidth="1"/>
    <col min="6404" max="6404" width="13.6640625" style="44" customWidth="1"/>
    <col min="6405" max="6405" width="13.5546875" style="44" customWidth="1"/>
    <col min="6406" max="6406" width="13.6640625" style="44" customWidth="1"/>
    <col min="6407" max="6407" width="18.6640625" style="44" customWidth="1"/>
    <col min="6408" max="6408" width="12.6640625" style="44" customWidth="1"/>
    <col min="6409" max="6409" width="13.33203125" style="44" customWidth="1"/>
    <col min="6410" max="6656" width="9.33203125" style="44"/>
    <col min="6657" max="6657" width="45.6640625" style="44" customWidth="1"/>
    <col min="6658" max="6659" width="14.33203125" style="44" customWidth="1"/>
    <col min="6660" max="6660" width="13.6640625" style="44" customWidth="1"/>
    <col min="6661" max="6661" width="13.5546875" style="44" customWidth="1"/>
    <col min="6662" max="6662" width="13.6640625" style="44" customWidth="1"/>
    <col min="6663" max="6663" width="18.6640625" style="44" customWidth="1"/>
    <col min="6664" max="6664" width="12.6640625" style="44" customWidth="1"/>
    <col min="6665" max="6665" width="13.33203125" style="44" customWidth="1"/>
    <col min="6666" max="6912" width="9.33203125" style="44"/>
    <col min="6913" max="6913" width="45.6640625" style="44" customWidth="1"/>
    <col min="6914" max="6915" width="14.33203125" style="44" customWidth="1"/>
    <col min="6916" max="6916" width="13.6640625" style="44" customWidth="1"/>
    <col min="6917" max="6917" width="13.5546875" style="44" customWidth="1"/>
    <col min="6918" max="6918" width="13.6640625" style="44" customWidth="1"/>
    <col min="6919" max="6919" width="18.6640625" style="44" customWidth="1"/>
    <col min="6920" max="6920" width="12.6640625" style="44" customWidth="1"/>
    <col min="6921" max="6921" width="13.33203125" style="44" customWidth="1"/>
    <col min="6922" max="7168" width="9.33203125" style="44"/>
    <col min="7169" max="7169" width="45.6640625" style="44" customWidth="1"/>
    <col min="7170" max="7171" width="14.33203125" style="44" customWidth="1"/>
    <col min="7172" max="7172" width="13.6640625" style="44" customWidth="1"/>
    <col min="7173" max="7173" width="13.5546875" style="44" customWidth="1"/>
    <col min="7174" max="7174" width="13.6640625" style="44" customWidth="1"/>
    <col min="7175" max="7175" width="18.6640625" style="44" customWidth="1"/>
    <col min="7176" max="7176" width="12.6640625" style="44" customWidth="1"/>
    <col min="7177" max="7177" width="13.33203125" style="44" customWidth="1"/>
    <col min="7178" max="7424" width="9.33203125" style="44"/>
    <col min="7425" max="7425" width="45.6640625" style="44" customWidth="1"/>
    <col min="7426" max="7427" width="14.33203125" style="44" customWidth="1"/>
    <col min="7428" max="7428" width="13.6640625" style="44" customWidth="1"/>
    <col min="7429" max="7429" width="13.5546875" style="44" customWidth="1"/>
    <col min="7430" max="7430" width="13.6640625" style="44" customWidth="1"/>
    <col min="7431" max="7431" width="18.6640625" style="44" customWidth="1"/>
    <col min="7432" max="7432" width="12.6640625" style="44" customWidth="1"/>
    <col min="7433" max="7433" width="13.33203125" style="44" customWidth="1"/>
    <col min="7434" max="7680" width="9.33203125" style="44"/>
    <col min="7681" max="7681" width="45.6640625" style="44" customWidth="1"/>
    <col min="7682" max="7683" width="14.33203125" style="44" customWidth="1"/>
    <col min="7684" max="7684" width="13.6640625" style="44" customWidth="1"/>
    <col min="7685" max="7685" width="13.5546875" style="44" customWidth="1"/>
    <col min="7686" max="7686" width="13.6640625" style="44" customWidth="1"/>
    <col min="7687" max="7687" width="18.6640625" style="44" customWidth="1"/>
    <col min="7688" max="7688" width="12.6640625" style="44" customWidth="1"/>
    <col min="7689" max="7689" width="13.33203125" style="44" customWidth="1"/>
    <col min="7690" max="7936" width="9.33203125" style="44"/>
    <col min="7937" max="7937" width="45.6640625" style="44" customWidth="1"/>
    <col min="7938" max="7939" width="14.33203125" style="44" customWidth="1"/>
    <col min="7940" max="7940" width="13.6640625" style="44" customWidth="1"/>
    <col min="7941" max="7941" width="13.5546875" style="44" customWidth="1"/>
    <col min="7942" max="7942" width="13.6640625" style="44" customWidth="1"/>
    <col min="7943" max="7943" width="18.6640625" style="44" customWidth="1"/>
    <col min="7944" max="7944" width="12.6640625" style="44" customWidth="1"/>
    <col min="7945" max="7945" width="13.33203125" style="44" customWidth="1"/>
    <col min="7946" max="8192" width="9.33203125" style="44"/>
    <col min="8193" max="8193" width="45.6640625" style="44" customWidth="1"/>
    <col min="8194" max="8195" width="14.33203125" style="44" customWidth="1"/>
    <col min="8196" max="8196" width="13.6640625" style="44" customWidth="1"/>
    <col min="8197" max="8197" width="13.5546875" style="44" customWidth="1"/>
    <col min="8198" max="8198" width="13.6640625" style="44" customWidth="1"/>
    <col min="8199" max="8199" width="18.6640625" style="44" customWidth="1"/>
    <col min="8200" max="8200" width="12.6640625" style="44" customWidth="1"/>
    <col min="8201" max="8201" width="13.33203125" style="44" customWidth="1"/>
    <col min="8202" max="8448" width="9.33203125" style="44"/>
    <col min="8449" max="8449" width="45.6640625" style="44" customWidth="1"/>
    <col min="8450" max="8451" width="14.33203125" style="44" customWidth="1"/>
    <col min="8452" max="8452" width="13.6640625" style="44" customWidth="1"/>
    <col min="8453" max="8453" width="13.5546875" style="44" customWidth="1"/>
    <col min="8454" max="8454" width="13.6640625" style="44" customWidth="1"/>
    <col min="8455" max="8455" width="18.6640625" style="44" customWidth="1"/>
    <col min="8456" max="8456" width="12.6640625" style="44" customWidth="1"/>
    <col min="8457" max="8457" width="13.33203125" style="44" customWidth="1"/>
    <col min="8458" max="8704" width="9.33203125" style="44"/>
    <col min="8705" max="8705" width="45.6640625" style="44" customWidth="1"/>
    <col min="8706" max="8707" width="14.33203125" style="44" customWidth="1"/>
    <col min="8708" max="8708" width="13.6640625" style="44" customWidth="1"/>
    <col min="8709" max="8709" width="13.5546875" style="44" customWidth="1"/>
    <col min="8710" max="8710" width="13.6640625" style="44" customWidth="1"/>
    <col min="8711" max="8711" width="18.6640625" style="44" customWidth="1"/>
    <col min="8712" max="8712" width="12.6640625" style="44" customWidth="1"/>
    <col min="8713" max="8713" width="13.33203125" style="44" customWidth="1"/>
    <col min="8714" max="8960" width="9.33203125" style="44"/>
    <col min="8961" max="8961" width="45.6640625" style="44" customWidth="1"/>
    <col min="8962" max="8963" width="14.33203125" style="44" customWidth="1"/>
    <col min="8964" max="8964" width="13.6640625" style="44" customWidth="1"/>
    <col min="8965" max="8965" width="13.5546875" style="44" customWidth="1"/>
    <col min="8966" max="8966" width="13.6640625" style="44" customWidth="1"/>
    <col min="8967" max="8967" width="18.6640625" style="44" customWidth="1"/>
    <col min="8968" max="8968" width="12.6640625" style="44" customWidth="1"/>
    <col min="8969" max="8969" width="13.33203125" style="44" customWidth="1"/>
    <col min="8970" max="9216" width="9.33203125" style="44"/>
    <col min="9217" max="9217" width="45.6640625" style="44" customWidth="1"/>
    <col min="9218" max="9219" width="14.33203125" style="44" customWidth="1"/>
    <col min="9220" max="9220" width="13.6640625" style="44" customWidth="1"/>
    <col min="9221" max="9221" width="13.5546875" style="44" customWidth="1"/>
    <col min="9222" max="9222" width="13.6640625" style="44" customWidth="1"/>
    <col min="9223" max="9223" width="18.6640625" style="44" customWidth="1"/>
    <col min="9224" max="9224" width="12.6640625" style="44" customWidth="1"/>
    <col min="9225" max="9225" width="13.33203125" style="44" customWidth="1"/>
    <col min="9226" max="9472" width="9.33203125" style="44"/>
    <col min="9473" max="9473" width="45.6640625" style="44" customWidth="1"/>
    <col min="9474" max="9475" width="14.33203125" style="44" customWidth="1"/>
    <col min="9476" max="9476" width="13.6640625" style="44" customWidth="1"/>
    <col min="9477" max="9477" width="13.5546875" style="44" customWidth="1"/>
    <col min="9478" max="9478" width="13.6640625" style="44" customWidth="1"/>
    <col min="9479" max="9479" width="18.6640625" style="44" customWidth="1"/>
    <col min="9480" max="9480" width="12.6640625" style="44" customWidth="1"/>
    <col min="9481" max="9481" width="13.33203125" style="44" customWidth="1"/>
    <col min="9482" max="9728" width="9.33203125" style="44"/>
    <col min="9729" max="9729" width="45.6640625" style="44" customWidth="1"/>
    <col min="9730" max="9731" width="14.33203125" style="44" customWidth="1"/>
    <col min="9732" max="9732" width="13.6640625" style="44" customWidth="1"/>
    <col min="9733" max="9733" width="13.5546875" style="44" customWidth="1"/>
    <col min="9734" max="9734" width="13.6640625" style="44" customWidth="1"/>
    <col min="9735" max="9735" width="18.6640625" style="44" customWidth="1"/>
    <col min="9736" max="9736" width="12.6640625" style="44" customWidth="1"/>
    <col min="9737" max="9737" width="13.33203125" style="44" customWidth="1"/>
    <col min="9738" max="9984" width="9.33203125" style="44"/>
    <col min="9985" max="9985" width="45.6640625" style="44" customWidth="1"/>
    <col min="9986" max="9987" width="14.33203125" style="44" customWidth="1"/>
    <col min="9988" max="9988" width="13.6640625" style="44" customWidth="1"/>
    <col min="9989" max="9989" width="13.5546875" style="44" customWidth="1"/>
    <col min="9990" max="9990" width="13.6640625" style="44" customWidth="1"/>
    <col min="9991" max="9991" width="18.6640625" style="44" customWidth="1"/>
    <col min="9992" max="9992" width="12.6640625" style="44" customWidth="1"/>
    <col min="9993" max="9993" width="13.33203125" style="44" customWidth="1"/>
    <col min="9994" max="10240" width="9.33203125" style="44"/>
    <col min="10241" max="10241" width="45.6640625" style="44" customWidth="1"/>
    <col min="10242" max="10243" width="14.33203125" style="44" customWidth="1"/>
    <col min="10244" max="10244" width="13.6640625" style="44" customWidth="1"/>
    <col min="10245" max="10245" width="13.5546875" style="44" customWidth="1"/>
    <col min="10246" max="10246" width="13.6640625" style="44" customWidth="1"/>
    <col min="10247" max="10247" width="18.6640625" style="44" customWidth="1"/>
    <col min="10248" max="10248" width="12.6640625" style="44" customWidth="1"/>
    <col min="10249" max="10249" width="13.33203125" style="44" customWidth="1"/>
    <col min="10250" max="10496" width="9.33203125" style="44"/>
    <col min="10497" max="10497" width="45.6640625" style="44" customWidth="1"/>
    <col min="10498" max="10499" width="14.33203125" style="44" customWidth="1"/>
    <col min="10500" max="10500" width="13.6640625" style="44" customWidth="1"/>
    <col min="10501" max="10501" width="13.5546875" style="44" customWidth="1"/>
    <col min="10502" max="10502" width="13.6640625" style="44" customWidth="1"/>
    <col min="10503" max="10503" width="18.6640625" style="44" customWidth="1"/>
    <col min="10504" max="10504" width="12.6640625" style="44" customWidth="1"/>
    <col min="10505" max="10505" width="13.33203125" style="44" customWidth="1"/>
    <col min="10506" max="10752" width="9.33203125" style="44"/>
    <col min="10753" max="10753" width="45.6640625" style="44" customWidth="1"/>
    <col min="10754" max="10755" width="14.33203125" style="44" customWidth="1"/>
    <col min="10756" max="10756" width="13.6640625" style="44" customWidth="1"/>
    <col min="10757" max="10757" width="13.5546875" style="44" customWidth="1"/>
    <col min="10758" max="10758" width="13.6640625" style="44" customWidth="1"/>
    <col min="10759" max="10759" width="18.6640625" style="44" customWidth="1"/>
    <col min="10760" max="10760" width="12.6640625" style="44" customWidth="1"/>
    <col min="10761" max="10761" width="13.33203125" style="44" customWidth="1"/>
    <col min="10762" max="11008" width="9.33203125" style="44"/>
    <col min="11009" max="11009" width="45.6640625" style="44" customWidth="1"/>
    <col min="11010" max="11011" width="14.33203125" style="44" customWidth="1"/>
    <col min="11012" max="11012" width="13.6640625" style="44" customWidth="1"/>
    <col min="11013" max="11013" width="13.5546875" style="44" customWidth="1"/>
    <col min="11014" max="11014" width="13.6640625" style="44" customWidth="1"/>
    <col min="11015" max="11015" width="18.6640625" style="44" customWidth="1"/>
    <col min="11016" max="11016" width="12.6640625" style="44" customWidth="1"/>
    <col min="11017" max="11017" width="13.33203125" style="44" customWidth="1"/>
    <col min="11018" max="11264" width="9.33203125" style="44"/>
    <col min="11265" max="11265" width="45.6640625" style="44" customWidth="1"/>
    <col min="11266" max="11267" width="14.33203125" style="44" customWidth="1"/>
    <col min="11268" max="11268" width="13.6640625" style="44" customWidth="1"/>
    <col min="11269" max="11269" width="13.5546875" style="44" customWidth="1"/>
    <col min="11270" max="11270" width="13.6640625" style="44" customWidth="1"/>
    <col min="11271" max="11271" width="18.6640625" style="44" customWidth="1"/>
    <col min="11272" max="11272" width="12.6640625" style="44" customWidth="1"/>
    <col min="11273" max="11273" width="13.33203125" style="44" customWidth="1"/>
    <col min="11274" max="11520" width="9.33203125" style="44"/>
    <col min="11521" max="11521" width="45.6640625" style="44" customWidth="1"/>
    <col min="11522" max="11523" width="14.33203125" style="44" customWidth="1"/>
    <col min="11524" max="11524" width="13.6640625" style="44" customWidth="1"/>
    <col min="11525" max="11525" width="13.5546875" style="44" customWidth="1"/>
    <col min="11526" max="11526" width="13.6640625" style="44" customWidth="1"/>
    <col min="11527" max="11527" width="18.6640625" style="44" customWidth="1"/>
    <col min="11528" max="11528" width="12.6640625" style="44" customWidth="1"/>
    <col min="11529" max="11529" width="13.33203125" style="44" customWidth="1"/>
    <col min="11530" max="11776" width="9.33203125" style="44"/>
    <col min="11777" max="11777" width="45.6640625" style="44" customWidth="1"/>
    <col min="11778" max="11779" width="14.33203125" style="44" customWidth="1"/>
    <col min="11780" max="11780" width="13.6640625" style="44" customWidth="1"/>
    <col min="11781" max="11781" width="13.5546875" style="44" customWidth="1"/>
    <col min="11782" max="11782" width="13.6640625" style="44" customWidth="1"/>
    <col min="11783" max="11783" width="18.6640625" style="44" customWidth="1"/>
    <col min="11784" max="11784" width="12.6640625" style="44" customWidth="1"/>
    <col min="11785" max="11785" width="13.33203125" style="44" customWidth="1"/>
    <col min="11786" max="12032" width="9.33203125" style="44"/>
    <col min="12033" max="12033" width="45.6640625" style="44" customWidth="1"/>
    <col min="12034" max="12035" width="14.33203125" style="44" customWidth="1"/>
    <col min="12036" max="12036" width="13.6640625" style="44" customWidth="1"/>
    <col min="12037" max="12037" width="13.5546875" style="44" customWidth="1"/>
    <col min="12038" max="12038" width="13.6640625" style="44" customWidth="1"/>
    <col min="12039" max="12039" width="18.6640625" style="44" customWidth="1"/>
    <col min="12040" max="12040" width="12.6640625" style="44" customWidth="1"/>
    <col min="12041" max="12041" width="13.33203125" style="44" customWidth="1"/>
    <col min="12042" max="12288" width="9.33203125" style="44"/>
    <col min="12289" max="12289" width="45.6640625" style="44" customWidth="1"/>
    <col min="12290" max="12291" width="14.33203125" style="44" customWidth="1"/>
    <col min="12292" max="12292" width="13.6640625" style="44" customWidth="1"/>
    <col min="12293" max="12293" width="13.5546875" style="44" customWidth="1"/>
    <col min="12294" max="12294" width="13.6640625" style="44" customWidth="1"/>
    <col min="12295" max="12295" width="18.6640625" style="44" customWidth="1"/>
    <col min="12296" max="12296" width="12.6640625" style="44" customWidth="1"/>
    <col min="12297" max="12297" width="13.33203125" style="44" customWidth="1"/>
    <col min="12298" max="12544" width="9.33203125" style="44"/>
    <col min="12545" max="12545" width="45.6640625" style="44" customWidth="1"/>
    <col min="12546" max="12547" width="14.33203125" style="44" customWidth="1"/>
    <col min="12548" max="12548" width="13.6640625" style="44" customWidth="1"/>
    <col min="12549" max="12549" width="13.5546875" style="44" customWidth="1"/>
    <col min="12550" max="12550" width="13.6640625" style="44" customWidth="1"/>
    <col min="12551" max="12551" width="18.6640625" style="44" customWidth="1"/>
    <col min="12552" max="12552" width="12.6640625" style="44" customWidth="1"/>
    <col min="12553" max="12553" width="13.33203125" style="44" customWidth="1"/>
    <col min="12554" max="12800" width="9.33203125" style="44"/>
    <col min="12801" max="12801" width="45.6640625" style="44" customWidth="1"/>
    <col min="12802" max="12803" width="14.33203125" style="44" customWidth="1"/>
    <col min="12804" max="12804" width="13.6640625" style="44" customWidth="1"/>
    <col min="12805" max="12805" width="13.5546875" style="44" customWidth="1"/>
    <col min="12806" max="12806" width="13.6640625" style="44" customWidth="1"/>
    <col min="12807" max="12807" width="18.6640625" style="44" customWidth="1"/>
    <col min="12808" max="12808" width="12.6640625" style="44" customWidth="1"/>
    <col min="12809" max="12809" width="13.33203125" style="44" customWidth="1"/>
    <col min="12810" max="13056" width="9.33203125" style="44"/>
    <col min="13057" max="13057" width="45.6640625" style="44" customWidth="1"/>
    <col min="13058" max="13059" width="14.33203125" style="44" customWidth="1"/>
    <col min="13060" max="13060" width="13.6640625" style="44" customWidth="1"/>
    <col min="13061" max="13061" width="13.5546875" style="44" customWidth="1"/>
    <col min="13062" max="13062" width="13.6640625" style="44" customWidth="1"/>
    <col min="13063" max="13063" width="18.6640625" style="44" customWidth="1"/>
    <col min="13064" max="13064" width="12.6640625" style="44" customWidth="1"/>
    <col min="13065" max="13065" width="13.33203125" style="44" customWidth="1"/>
    <col min="13066" max="13312" width="9.33203125" style="44"/>
    <col min="13313" max="13313" width="45.6640625" style="44" customWidth="1"/>
    <col min="13314" max="13315" width="14.33203125" style="44" customWidth="1"/>
    <col min="13316" max="13316" width="13.6640625" style="44" customWidth="1"/>
    <col min="13317" max="13317" width="13.5546875" style="44" customWidth="1"/>
    <col min="13318" max="13318" width="13.6640625" style="44" customWidth="1"/>
    <col min="13319" max="13319" width="18.6640625" style="44" customWidth="1"/>
    <col min="13320" max="13320" width="12.6640625" style="44" customWidth="1"/>
    <col min="13321" max="13321" width="13.33203125" style="44" customWidth="1"/>
    <col min="13322" max="13568" width="9.33203125" style="44"/>
    <col min="13569" max="13569" width="45.6640625" style="44" customWidth="1"/>
    <col min="13570" max="13571" width="14.33203125" style="44" customWidth="1"/>
    <col min="13572" max="13572" width="13.6640625" style="44" customWidth="1"/>
    <col min="13573" max="13573" width="13.5546875" style="44" customWidth="1"/>
    <col min="13574" max="13574" width="13.6640625" style="44" customWidth="1"/>
    <col min="13575" max="13575" width="18.6640625" style="44" customWidth="1"/>
    <col min="13576" max="13576" width="12.6640625" style="44" customWidth="1"/>
    <col min="13577" max="13577" width="13.33203125" style="44" customWidth="1"/>
    <col min="13578" max="13824" width="9.33203125" style="44"/>
    <col min="13825" max="13825" width="45.6640625" style="44" customWidth="1"/>
    <col min="13826" max="13827" width="14.33203125" style="44" customWidth="1"/>
    <col min="13828" max="13828" width="13.6640625" style="44" customWidth="1"/>
    <col min="13829" max="13829" width="13.5546875" style="44" customWidth="1"/>
    <col min="13830" max="13830" width="13.6640625" style="44" customWidth="1"/>
    <col min="13831" max="13831" width="18.6640625" style="44" customWidth="1"/>
    <col min="13832" max="13832" width="12.6640625" style="44" customWidth="1"/>
    <col min="13833" max="13833" width="13.33203125" style="44" customWidth="1"/>
    <col min="13834" max="14080" width="9.33203125" style="44"/>
    <col min="14081" max="14081" width="45.6640625" style="44" customWidth="1"/>
    <col min="14082" max="14083" width="14.33203125" style="44" customWidth="1"/>
    <col min="14084" max="14084" width="13.6640625" style="44" customWidth="1"/>
    <col min="14085" max="14085" width="13.5546875" style="44" customWidth="1"/>
    <col min="14086" max="14086" width="13.6640625" style="44" customWidth="1"/>
    <col min="14087" max="14087" width="18.6640625" style="44" customWidth="1"/>
    <col min="14088" max="14088" width="12.6640625" style="44" customWidth="1"/>
    <col min="14089" max="14089" width="13.33203125" style="44" customWidth="1"/>
    <col min="14090" max="14336" width="9.33203125" style="44"/>
    <col min="14337" max="14337" width="45.6640625" style="44" customWidth="1"/>
    <col min="14338" max="14339" width="14.33203125" style="44" customWidth="1"/>
    <col min="14340" max="14340" width="13.6640625" style="44" customWidth="1"/>
    <col min="14341" max="14341" width="13.5546875" style="44" customWidth="1"/>
    <col min="14342" max="14342" width="13.6640625" style="44" customWidth="1"/>
    <col min="14343" max="14343" width="18.6640625" style="44" customWidth="1"/>
    <col min="14344" max="14344" width="12.6640625" style="44" customWidth="1"/>
    <col min="14345" max="14345" width="13.33203125" style="44" customWidth="1"/>
    <col min="14346" max="14592" width="9.33203125" style="44"/>
    <col min="14593" max="14593" width="45.6640625" style="44" customWidth="1"/>
    <col min="14594" max="14595" width="14.33203125" style="44" customWidth="1"/>
    <col min="14596" max="14596" width="13.6640625" style="44" customWidth="1"/>
    <col min="14597" max="14597" width="13.5546875" style="44" customWidth="1"/>
    <col min="14598" max="14598" width="13.6640625" style="44" customWidth="1"/>
    <col min="14599" max="14599" width="18.6640625" style="44" customWidth="1"/>
    <col min="14600" max="14600" width="12.6640625" style="44" customWidth="1"/>
    <col min="14601" max="14601" width="13.33203125" style="44" customWidth="1"/>
    <col min="14602" max="14848" width="9.33203125" style="44"/>
    <col min="14849" max="14849" width="45.6640625" style="44" customWidth="1"/>
    <col min="14850" max="14851" width="14.33203125" style="44" customWidth="1"/>
    <col min="14852" max="14852" width="13.6640625" style="44" customWidth="1"/>
    <col min="14853" max="14853" width="13.5546875" style="44" customWidth="1"/>
    <col min="14854" max="14854" width="13.6640625" style="44" customWidth="1"/>
    <col min="14855" max="14855" width="18.6640625" style="44" customWidth="1"/>
    <col min="14856" max="14856" width="12.6640625" style="44" customWidth="1"/>
    <col min="14857" max="14857" width="13.33203125" style="44" customWidth="1"/>
    <col min="14858" max="15104" width="9.33203125" style="44"/>
    <col min="15105" max="15105" width="45.6640625" style="44" customWidth="1"/>
    <col min="15106" max="15107" width="14.33203125" style="44" customWidth="1"/>
    <col min="15108" max="15108" width="13.6640625" style="44" customWidth="1"/>
    <col min="15109" max="15109" width="13.5546875" style="44" customWidth="1"/>
    <col min="15110" max="15110" width="13.6640625" style="44" customWidth="1"/>
    <col min="15111" max="15111" width="18.6640625" style="44" customWidth="1"/>
    <col min="15112" max="15112" width="12.6640625" style="44" customWidth="1"/>
    <col min="15113" max="15113" width="13.33203125" style="44" customWidth="1"/>
    <col min="15114" max="15360" width="9.33203125" style="44"/>
    <col min="15361" max="15361" width="45.6640625" style="44" customWidth="1"/>
    <col min="15362" max="15363" width="14.33203125" style="44" customWidth="1"/>
    <col min="15364" max="15364" width="13.6640625" style="44" customWidth="1"/>
    <col min="15365" max="15365" width="13.5546875" style="44" customWidth="1"/>
    <col min="15366" max="15366" width="13.6640625" style="44" customWidth="1"/>
    <col min="15367" max="15367" width="18.6640625" style="44" customWidth="1"/>
    <col min="15368" max="15368" width="12.6640625" style="44" customWidth="1"/>
    <col min="15369" max="15369" width="13.33203125" style="44" customWidth="1"/>
    <col min="15370" max="15616" width="9.33203125" style="44"/>
    <col min="15617" max="15617" width="45.6640625" style="44" customWidth="1"/>
    <col min="15618" max="15619" width="14.33203125" style="44" customWidth="1"/>
    <col min="15620" max="15620" width="13.6640625" style="44" customWidth="1"/>
    <col min="15621" max="15621" width="13.5546875" style="44" customWidth="1"/>
    <col min="15622" max="15622" width="13.6640625" style="44" customWidth="1"/>
    <col min="15623" max="15623" width="18.6640625" style="44" customWidth="1"/>
    <col min="15624" max="15624" width="12.6640625" style="44" customWidth="1"/>
    <col min="15625" max="15625" width="13.33203125" style="44" customWidth="1"/>
    <col min="15626" max="15872" width="9.33203125" style="44"/>
    <col min="15873" max="15873" width="45.6640625" style="44" customWidth="1"/>
    <col min="15874" max="15875" width="14.33203125" style="44" customWidth="1"/>
    <col min="15876" max="15876" width="13.6640625" style="44" customWidth="1"/>
    <col min="15877" max="15877" width="13.5546875" style="44" customWidth="1"/>
    <col min="15878" max="15878" width="13.6640625" style="44" customWidth="1"/>
    <col min="15879" max="15879" width="18.6640625" style="44" customWidth="1"/>
    <col min="15880" max="15880" width="12.6640625" style="44" customWidth="1"/>
    <col min="15881" max="15881" width="13.33203125" style="44" customWidth="1"/>
    <col min="15882" max="16128" width="9.33203125" style="44"/>
    <col min="16129" max="16129" width="45.6640625" style="44" customWidth="1"/>
    <col min="16130" max="16131" width="14.33203125" style="44" customWidth="1"/>
    <col min="16132" max="16132" width="13.6640625" style="44" customWidth="1"/>
    <col min="16133" max="16133" width="13.5546875" style="44" customWidth="1"/>
    <col min="16134" max="16134" width="13.6640625" style="44" customWidth="1"/>
    <col min="16135" max="16135" width="18.6640625" style="44" customWidth="1"/>
    <col min="16136" max="16136" width="12.6640625" style="44" customWidth="1"/>
    <col min="16137" max="16137" width="13.33203125" style="44" customWidth="1"/>
    <col min="16138" max="16384" width="9.33203125" style="44"/>
  </cols>
  <sheetData>
    <row r="1" spans="1:9" x14ac:dyDescent="0.2">
      <c r="A1" s="178"/>
    </row>
    <row r="2" spans="1:9" s="749" customFormat="1" ht="13.2" x14ac:dyDescent="0.25">
      <c r="A2" s="399" t="s">
        <v>1061</v>
      </c>
    </row>
    <row r="3" spans="1:9" s="749" customFormat="1" x14ac:dyDescent="0.2">
      <c r="A3" s="748"/>
    </row>
    <row r="4" spans="1:9" s="749" customFormat="1" x14ac:dyDescent="0.2">
      <c r="A4" s="54" t="s">
        <v>1062</v>
      </c>
    </row>
    <row r="5" spans="1:9" s="749" customFormat="1" x14ac:dyDescent="0.2">
      <c r="A5" s="54"/>
    </row>
    <row r="6" spans="1:9" s="749" customFormat="1" ht="51" x14ac:dyDescent="0.2">
      <c r="A6" s="572" t="s">
        <v>155</v>
      </c>
      <c r="B6" s="572" t="s">
        <v>910</v>
      </c>
      <c r="C6" s="572" t="s">
        <v>911</v>
      </c>
      <c r="D6" s="572" t="s">
        <v>490</v>
      </c>
      <c r="E6" s="572" t="s">
        <v>491</v>
      </c>
      <c r="F6" s="572" t="s">
        <v>492</v>
      </c>
      <c r="G6" s="572" t="s">
        <v>908</v>
      </c>
      <c r="H6" s="137"/>
      <c r="I6" s="137"/>
    </row>
    <row r="7" spans="1:9" s="749" customFormat="1" x14ac:dyDescent="0.2">
      <c r="A7" s="113" t="s">
        <v>829</v>
      </c>
      <c r="B7" s="111">
        <v>533333</v>
      </c>
      <c r="C7" s="573">
        <f>24800-533333</f>
        <v>-508533</v>
      </c>
      <c r="D7" s="573">
        <f>B7+C7</f>
        <v>24800</v>
      </c>
      <c r="E7" s="111">
        <v>40</v>
      </c>
      <c r="F7" s="111">
        <v>40</v>
      </c>
      <c r="G7" s="396" t="s">
        <v>909</v>
      </c>
    </row>
    <row r="8" spans="1:9" s="749" customFormat="1" x14ac:dyDescent="0.2">
      <c r="A8" s="116"/>
    </row>
    <row r="9" spans="1:9" s="749" customFormat="1" x14ac:dyDescent="0.2">
      <c r="A9" s="116"/>
    </row>
    <row r="10" spans="1:9" s="749" customFormat="1" ht="20.399999999999999" x14ac:dyDescent="0.2">
      <c r="A10" s="572" t="s">
        <v>62</v>
      </c>
      <c r="B10" s="572" t="s">
        <v>334</v>
      </c>
      <c r="C10" s="572" t="s">
        <v>335</v>
      </c>
      <c r="D10" s="572" t="s">
        <v>493</v>
      </c>
      <c r="E10" s="572" t="s">
        <v>494</v>
      </c>
      <c r="F10" s="572" t="s">
        <v>495</v>
      </c>
      <c r="G10" s="572" t="s">
        <v>496</v>
      </c>
      <c r="H10" s="572" t="s">
        <v>497</v>
      </c>
      <c r="I10" s="572" t="s">
        <v>498</v>
      </c>
    </row>
    <row r="11" spans="1:9" s="749" customFormat="1" x14ac:dyDescent="0.2">
      <c r="A11" s="169">
        <f>B11+C11+D11</f>
        <v>247641</v>
      </c>
      <c r="B11" s="573">
        <v>150000</v>
      </c>
      <c r="C11" s="573">
        <v>1032348</v>
      </c>
      <c r="D11" s="573">
        <v>-934707</v>
      </c>
      <c r="E11" s="573">
        <f>F11+G11</f>
        <v>850729</v>
      </c>
      <c r="F11" s="573">
        <v>453913</v>
      </c>
      <c r="G11" s="573">
        <v>396816</v>
      </c>
      <c r="H11" s="169">
        <v>603088</v>
      </c>
      <c r="I11" s="169">
        <v>1091033</v>
      </c>
    </row>
    <row r="12" spans="1:9" s="749" customFormat="1" x14ac:dyDescent="0.2">
      <c r="B12" s="751"/>
      <c r="C12" s="751"/>
    </row>
    <row r="13" spans="1:9" s="749" customFormat="1" x14ac:dyDescent="0.2">
      <c r="B13" s="751"/>
      <c r="C13" s="751"/>
    </row>
    <row r="14" spans="1:9" s="749" customFormat="1" x14ac:dyDescent="0.2">
      <c r="A14" s="54" t="s">
        <v>1063</v>
      </c>
    </row>
    <row r="15" spans="1:9" s="749" customFormat="1" x14ac:dyDescent="0.2">
      <c r="A15" s="54"/>
    </row>
    <row r="16" spans="1:9" s="749" customFormat="1" ht="51" x14ac:dyDescent="0.2">
      <c r="A16" s="572" t="s">
        <v>155</v>
      </c>
      <c r="B16" s="572" t="s">
        <v>910</v>
      </c>
      <c r="C16" s="572" t="s">
        <v>911</v>
      </c>
      <c r="D16" s="572" t="s">
        <v>490</v>
      </c>
      <c r="E16" s="572" t="s">
        <v>491</v>
      </c>
      <c r="F16" s="572" t="s">
        <v>492</v>
      </c>
      <c r="G16" s="572" t="s">
        <v>908</v>
      </c>
      <c r="H16" s="137"/>
      <c r="I16" s="137"/>
    </row>
    <row r="17" spans="1:9" s="749" customFormat="1" x14ac:dyDescent="0.2">
      <c r="A17" s="113" t="s">
        <v>829</v>
      </c>
      <c r="B17" s="111">
        <v>533333</v>
      </c>
      <c r="C17" s="573">
        <v>-134650</v>
      </c>
      <c r="D17" s="573">
        <f>B17+C17</f>
        <v>398683</v>
      </c>
      <c r="E17" s="111">
        <v>40</v>
      </c>
      <c r="F17" s="111">
        <v>40</v>
      </c>
      <c r="G17" s="396" t="s">
        <v>909</v>
      </c>
    </row>
    <row r="18" spans="1:9" s="749" customFormat="1" x14ac:dyDescent="0.2">
      <c r="A18" s="116"/>
    </row>
    <row r="19" spans="1:9" s="749" customFormat="1" x14ac:dyDescent="0.2">
      <c r="A19" s="116"/>
    </row>
    <row r="20" spans="1:9" s="749" customFormat="1" ht="20.399999999999999" x14ac:dyDescent="0.2">
      <c r="A20" s="572" t="s">
        <v>62</v>
      </c>
      <c r="B20" s="572" t="s">
        <v>334</v>
      </c>
      <c r="C20" s="572" t="s">
        <v>335</v>
      </c>
      <c r="D20" s="572" t="s">
        <v>493</v>
      </c>
      <c r="E20" s="572" t="s">
        <v>494</v>
      </c>
      <c r="F20" s="572" t="s">
        <v>495</v>
      </c>
      <c r="G20" s="572" t="s">
        <v>496</v>
      </c>
      <c r="H20" s="572" t="s">
        <v>497</v>
      </c>
      <c r="I20" s="572" t="s">
        <v>498</v>
      </c>
    </row>
    <row r="21" spans="1:9" s="749" customFormat="1" x14ac:dyDescent="0.2">
      <c r="A21" s="169">
        <f>B21+C21+D21</f>
        <v>1182348</v>
      </c>
      <c r="B21" s="573">
        <v>150000</v>
      </c>
      <c r="C21" s="573">
        <v>927759</v>
      </c>
      <c r="D21" s="573">
        <v>104589</v>
      </c>
      <c r="E21" s="573">
        <f>F21+G21</f>
        <v>1842585</v>
      </c>
      <c r="F21" s="573">
        <v>841777</v>
      </c>
      <c r="G21" s="573">
        <v>1000808</v>
      </c>
      <c r="H21" s="169">
        <v>660237</v>
      </c>
      <c r="I21" s="169">
        <v>2286217</v>
      </c>
    </row>
    <row r="22" spans="1:9" s="749" customFormat="1" x14ac:dyDescent="0.2">
      <c r="B22" s="751"/>
      <c r="C22" s="751"/>
    </row>
    <row r="23" spans="1:9" s="749" customFormat="1" x14ac:dyDescent="0.2">
      <c r="B23" s="751"/>
      <c r="C23" s="751"/>
    </row>
    <row r="24" spans="1:9" s="749" customFormat="1" x14ac:dyDescent="0.2">
      <c r="A24" s="749" t="s">
        <v>906</v>
      </c>
      <c r="B24" s="751"/>
      <c r="C24" s="751"/>
    </row>
    <row r="25" spans="1:9" s="749" customFormat="1" x14ac:dyDescent="0.2">
      <c r="A25" s="749" t="s">
        <v>907</v>
      </c>
      <c r="B25" s="751"/>
      <c r="C25" s="751"/>
    </row>
    <row r="26" spans="1:9" s="749" customFormat="1" x14ac:dyDescent="0.2">
      <c r="B26" s="751"/>
      <c r="C26" s="751"/>
    </row>
    <row r="27" spans="1:9" s="749" customFormat="1" x14ac:dyDescent="0.2">
      <c r="A27" s="748"/>
    </row>
    <row r="28" spans="1:9" ht="13.2" x14ac:dyDescent="0.25">
      <c r="A28" s="399" t="s">
        <v>1064</v>
      </c>
      <c r="B28" s="399"/>
      <c r="C28" s="399"/>
      <c r="D28" s="399"/>
      <c r="E28" s="399"/>
      <c r="F28" s="399"/>
    </row>
    <row r="29" spans="1:9" x14ac:dyDescent="0.2">
      <c r="B29" s="793"/>
      <c r="C29" s="793"/>
    </row>
    <row r="30" spans="1:9" s="638" customFormat="1" x14ac:dyDescent="0.2">
      <c r="B30" s="639"/>
      <c r="C30" s="639"/>
    </row>
    <row r="31" spans="1:9" s="638" customFormat="1" x14ac:dyDescent="0.2">
      <c r="B31" s="639"/>
      <c r="C31" s="639"/>
    </row>
    <row r="32" spans="1:9" x14ac:dyDescent="0.2">
      <c r="A32" s="115" t="s">
        <v>174</v>
      </c>
      <c r="B32" s="435">
        <v>44196</v>
      </c>
      <c r="C32" s="435">
        <v>43830</v>
      </c>
    </row>
    <row r="33" spans="1:9" ht="20.399999999999999" x14ac:dyDescent="0.2">
      <c r="A33" s="55" t="s">
        <v>172</v>
      </c>
      <c r="B33" s="207">
        <v>0</v>
      </c>
      <c r="C33" s="207">
        <v>0</v>
      </c>
    </row>
    <row r="34" spans="1:9" x14ac:dyDescent="0.2">
      <c r="A34" s="55" t="s">
        <v>173</v>
      </c>
      <c r="B34" s="207">
        <v>0</v>
      </c>
      <c r="C34" s="207">
        <v>0</v>
      </c>
    </row>
    <row r="35" spans="1:9" x14ac:dyDescent="0.2">
      <c r="A35" s="53" t="s">
        <v>27</v>
      </c>
      <c r="B35" s="90">
        <f>SUM(B33:B34)</f>
        <v>0</v>
      </c>
      <c r="C35" s="90">
        <f>SUM(C33:C34)</f>
        <v>0</v>
      </c>
    </row>
    <row r="36" spans="1:9" x14ac:dyDescent="0.2">
      <c r="B36" s="314">
        <f>Aktywa!D10-B35</f>
        <v>0</v>
      </c>
      <c r="C36" s="314">
        <f>Aktywa!E10-C35</f>
        <v>0</v>
      </c>
    </row>
    <row r="38" spans="1:9" x14ac:dyDescent="0.2">
      <c r="A38" s="54" t="s">
        <v>912</v>
      </c>
    </row>
    <row r="39" spans="1:9" x14ac:dyDescent="0.2">
      <c r="A39" s="54"/>
    </row>
    <row r="40" spans="1:9" ht="41.25" customHeight="1" x14ac:dyDescent="0.2">
      <c r="A40" s="71" t="s">
        <v>155</v>
      </c>
      <c r="B40" s="71" t="s">
        <v>488</v>
      </c>
      <c r="C40" s="71" t="s">
        <v>489</v>
      </c>
      <c r="D40" s="71" t="s">
        <v>490</v>
      </c>
      <c r="E40" s="71" t="s">
        <v>491</v>
      </c>
      <c r="F40" s="71" t="s">
        <v>492</v>
      </c>
      <c r="G40" s="71" t="s">
        <v>175</v>
      </c>
      <c r="H40" s="137"/>
      <c r="I40" s="137"/>
    </row>
    <row r="41" spans="1:9" x14ac:dyDescent="0.2">
      <c r="A41" s="113" t="s">
        <v>678</v>
      </c>
      <c r="B41" s="538">
        <v>105075</v>
      </c>
      <c r="C41" s="538">
        <v>-105075</v>
      </c>
      <c r="D41" s="538">
        <f t="shared" ref="D41:D42" si="0">B41+C41</f>
        <v>0</v>
      </c>
      <c r="E41" s="111">
        <v>100</v>
      </c>
      <c r="F41" s="111">
        <v>100</v>
      </c>
      <c r="G41" s="111" t="s">
        <v>609</v>
      </c>
    </row>
    <row r="42" spans="1:9" x14ac:dyDescent="0.2">
      <c r="A42" s="113" t="s">
        <v>622</v>
      </c>
      <c r="B42" s="538">
        <v>5000</v>
      </c>
      <c r="C42" s="538">
        <v>-5000</v>
      </c>
      <c r="D42" s="538">
        <f t="shared" si="0"/>
        <v>0</v>
      </c>
      <c r="E42" s="111">
        <v>50</v>
      </c>
      <c r="F42" s="111">
        <v>50</v>
      </c>
      <c r="G42" s="111" t="s">
        <v>609</v>
      </c>
    </row>
    <row r="43" spans="1:9" hidden="1" x14ac:dyDescent="0.2">
      <c r="A43" s="113"/>
      <c r="B43" s="169"/>
      <c r="C43" s="77"/>
      <c r="D43" s="77"/>
      <c r="E43" s="111"/>
      <c r="F43" s="111"/>
      <c r="G43" s="111"/>
    </row>
    <row r="44" spans="1:9" s="52" customFormat="1" x14ac:dyDescent="0.2">
      <c r="A44" s="343" t="s">
        <v>508</v>
      </c>
      <c r="B44" s="152">
        <f>SUM(B41:B43)</f>
        <v>110075</v>
      </c>
      <c r="C44" s="152">
        <f>SUM(C41:C43)</f>
        <v>-110075</v>
      </c>
      <c r="D44" s="152">
        <f>SUM(D41:D43)</f>
        <v>0</v>
      </c>
      <c r="E44" s="152"/>
      <c r="F44" s="152"/>
      <c r="G44" s="344"/>
    </row>
    <row r="45" spans="1:9" x14ac:dyDescent="0.2">
      <c r="A45" s="116"/>
      <c r="D45" s="314">
        <f>Aktywa!D10</f>
        <v>0</v>
      </c>
    </row>
    <row r="46" spans="1:9" x14ac:dyDescent="0.2">
      <c r="A46" s="116"/>
    </row>
    <row r="47" spans="1:9" ht="20.399999999999999" x14ac:dyDescent="0.2">
      <c r="A47" s="71" t="s">
        <v>62</v>
      </c>
      <c r="B47" s="71" t="s">
        <v>334</v>
      </c>
      <c r="C47" s="71" t="s">
        <v>335</v>
      </c>
      <c r="D47" s="71" t="s">
        <v>493</v>
      </c>
      <c r="E47" s="71" t="s">
        <v>494</v>
      </c>
      <c r="F47" s="71" t="s">
        <v>495</v>
      </c>
      <c r="G47" s="71" t="s">
        <v>496</v>
      </c>
      <c r="H47" s="71" t="s">
        <v>497</v>
      </c>
      <c r="I47" s="71" t="s">
        <v>498</v>
      </c>
    </row>
    <row r="48" spans="1:9" x14ac:dyDescent="0.2">
      <c r="A48" s="538">
        <f t="shared" ref="A48:A49" si="1">SUM(B48:D48)</f>
        <v>-289969</v>
      </c>
      <c r="B48" s="538">
        <v>115370</v>
      </c>
      <c r="C48" s="538">
        <v>-386914</v>
      </c>
      <c r="D48" s="538">
        <v>-18425</v>
      </c>
      <c r="E48" s="538">
        <f t="shared" ref="E48:E49" si="2">F48+G48</f>
        <v>456</v>
      </c>
      <c r="F48" s="538">
        <v>0</v>
      </c>
      <c r="G48" s="538">
        <v>456</v>
      </c>
      <c r="H48" s="538">
        <v>290425</v>
      </c>
      <c r="I48" s="538">
        <v>0</v>
      </c>
    </row>
    <row r="49" spans="1:9" x14ac:dyDescent="0.2">
      <c r="A49" s="538">
        <f t="shared" si="1"/>
        <v>-11776</v>
      </c>
      <c r="B49" s="538">
        <v>10000</v>
      </c>
      <c r="C49" s="538">
        <v>-22914</v>
      </c>
      <c r="D49" s="538">
        <v>1138</v>
      </c>
      <c r="E49" s="538">
        <f t="shared" si="2"/>
        <v>12130</v>
      </c>
      <c r="F49" s="538">
        <v>1808</v>
      </c>
      <c r="G49" s="538">
        <v>10322</v>
      </c>
      <c r="H49" s="538">
        <v>23906</v>
      </c>
      <c r="I49" s="538">
        <v>0</v>
      </c>
    </row>
    <row r="50" spans="1:9" hidden="1" x14ac:dyDescent="0.2">
      <c r="A50" s="77"/>
      <c r="B50" s="77"/>
      <c r="C50" s="77"/>
      <c r="D50" s="77"/>
      <c r="E50" s="77"/>
      <c r="F50" s="77"/>
      <c r="G50" s="77"/>
      <c r="H50" s="169"/>
      <c r="I50" s="169"/>
    </row>
    <row r="51" spans="1:9" x14ac:dyDescent="0.2">
      <c r="A51" s="116"/>
    </row>
    <row r="52" spans="1:9" x14ac:dyDescent="0.2">
      <c r="A52" s="54" t="s">
        <v>779</v>
      </c>
    </row>
    <row r="53" spans="1:9" x14ac:dyDescent="0.2">
      <c r="A53" s="54"/>
    </row>
    <row r="54" spans="1:9" ht="30.6" x14ac:dyDescent="0.2">
      <c r="A54" s="71" t="s">
        <v>155</v>
      </c>
      <c r="B54" s="71" t="s">
        <v>488</v>
      </c>
      <c r="C54" s="71" t="s">
        <v>489</v>
      </c>
      <c r="D54" s="71" t="s">
        <v>490</v>
      </c>
      <c r="E54" s="71" t="s">
        <v>491</v>
      </c>
      <c r="F54" s="71" t="s">
        <v>492</v>
      </c>
      <c r="G54" s="71" t="s">
        <v>175</v>
      </c>
      <c r="H54" s="137"/>
      <c r="I54" s="137"/>
    </row>
    <row r="55" spans="1:9" x14ac:dyDescent="0.2">
      <c r="A55" s="113" t="s">
        <v>678</v>
      </c>
      <c r="B55" s="169">
        <v>105075</v>
      </c>
      <c r="C55" s="573">
        <v>-105075</v>
      </c>
      <c r="D55" s="573">
        <f>B55+C55</f>
        <v>0</v>
      </c>
      <c r="E55" s="111">
        <v>100</v>
      </c>
      <c r="F55" s="111">
        <v>100</v>
      </c>
      <c r="G55" s="111" t="s">
        <v>609</v>
      </c>
      <c r="H55" s="137"/>
      <c r="I55" s="137"/>
    </row>
    <row r="56" spans="1:9" x14ac:dyDescent="0.2">
      <c r="A56" s="113" t="s">
        <v>622</v>
      </c>
      <c r="B56" s="169">
        <v>5000</v>
      </c>
      <c r="C56" s="573">
        <v>-5000</v>
      </c>
      <c r="D56" s="573">
        <f>B56+C56</f>
        <v>0</v>
      </c>
      <c r="E56" s="111">
        <v>50</v>
      </c>
      <c r="F56" s="111">
        <v>50</v>
      </c>
      <c r="G56" s="111" t="s">
        <v>609</v>
      </c>
    </row>
    <row r="57" spans="1:9" x14ac:dyDescent="0.2">
      <c r="A57" s="343" t="s">
        <v>508</v>
      </c>
      <c r="B57" s="152">
        <f>SUM(B55:B56)</f>
        <v>110075</v>
      </c>
      <c r="C57" s="152">
        <f>SUM(C55:C56)</f>
        <v>-110075</v>
      </c>
      <c r="D57" s="152">
        <f>SUM(D55:D56)</f>
        <v>0</v>
      </c>
      <c r="E57" s="152"/>
      <c r="F57" s="152"/>
      <c r="G57" s="344"/>
    </row>
    <row r="58" spans="1:9" x14ac:dyDescent="0.2">
      <c r="A58" s="116"/>
      <c r="B58" s="370"/>
      <c r="C58" s="370"/>
      <c r="D58" s="314"/>
      <c r="E58" s="370"/>
      <c r="F58" s="370"/>
    </row>
    <row r="59" spans="1:9" x14ac:dyDescent="0.2">
      <c r="A59" s="116"/>
    </row>
    <row r="60" spans="1:9" ht="20.399999999999999" x14ac:dyDescent="0.2">
      <c r="A60" s="71" t="s">
        <v>62</v>
      </c>
      <c r="B60" s="71" t="s">
        <v>334</v>
      </c>
      <c r="C60" s="71" t="s">
        <v>335</v>
      </c>
      <c r="D60" s="71" t="s">
        <v>493</v>
      </c>
      <c r="E60" s="71" t="s">
        <v>494</v>
      </c>
      <c r="F60" s="71" t="s">
        <v>495</v>
      </c>
      <c r="G60" s="71" t="s">
        <v>496</v>
      </c>
      <c r="H60" s="71" t="s">
        <v>497</v>
      </c>
      <c r="I60" s="71" t="s">
        <v>498</v>
      </c>
    </row>
    <row r="61" spans="1:9" x14ac:dyDescent="0.2">
      <c r="A61" s="77">
        <f>SUM(B61:D61)</f>
        <v>-259304</v>
      </c>
      <c r="B61" s="538">
        <v>106463</v>
      </c>
      <c r="C61" s="538">
        <v>-317559</v>
      </c>
      <c r="D61" s="538">
        <v>-48208</v>
      </c>
      <c r="E61" s="77">
        <f>F61+G61</f>
        <v>11402</v>
      </c>
      <c r="F61" s="538">
        <v>0</v>
      </c>
      <c r="G61" s="538">
        <v>11402</v>
      </c>
      <c r="H61" s="538">
        <v>270706</v>
      </c>
      <c r="I61" s="538">
        <v>0</v>
      </c>
    </row>
    <row r="62" spans="1:9" x14ac:dyDescent="0.2">
      <c r="A62" s="573">
        <f>SUM(B62:D62)</f>
        <v>-12914</v>
      </c>
      <c r="B62" s="538">
        <v>10000</v>
      </c>
      <c r="C62" s="538">
        <v>-1955</v>
      </c>
      <c r="D62" s="538">
        <v>-20959</v>
      </c>
      <c r="E62" s="573">
        <f>F62+G62</f>
        <v>10812</v>
      </c>
      <c r="F62" s="538">
        <v>2456</v>
      </c>
      <c r="G62" s="538">
        <v>8356</v>
      </c>
      <c r="H62" s="538">
        <v>23726</v>
      </c>
      <c r="I62" s="538">
        <v>87493</v>
      </c>
    </row>
    <row r="63" spans="1:9" hidden="1" x14ac:dyDescent="0.2">
      <c r="A63" s="77">
        <v>-41437</v>
      </c>
      <c r="B63" s="77">
        <v>5100</v>
      </c>
      <c r="C63" s="77">
        <v>47467</v>
      </c>
      <c r="D63" s="77">
        <v>-94004</v>
      </c>
      <c r="E63" s="77">
        <v>285878</v>
      </c>
      <c r="F63" s="77">
        <v>6357</v>
      </c>
      <c r="G63" s="77">
        <v>279521</v>
      </c>
      <c r="H63" s="169">
        <f>250929+76386</f>
        <v>327315</v>
      </c>
      <c r="I63" s="169">
        <v>308696</v>
      </c>
    </row>
    <row r="64" spans="1:9" x14ac:dyDescent="0.2">
      <c r="A64" s="116"/>
    </row>
    <row r="65" spans="1:6" ht="13.2" x14ac:dyDescent="0.25">
      <c r="A65" s="399" t="s">
        <v>1065</v>
      </c>
      <c r="B65" s="399"/>
      <c r="C65" s="399"/>
      <c r="D65" s="399"/>
      <c r="E65" s="399"/>
      <c r="F65" s="399"/>
    </row>
    <row r="66" spans="1:6" x14ac:dyDescent="0.2">
      <c r="A66" s="116"/>
    </row>
    <row r="67" spans="1:6" x14ac:dyDescent="0.2">
      <c r="A67" s="122"/>
      <c r="B67" s="435">
        <v>44196</v>
      </c>
      <c r="C67" s="435">
        <v>43830</v>
      </c>
    </row>
    <row r="68" spans="1:6" hidden="1" x14ac:dyDescent="0.2">
      <c r="A68" s="75" t="s">
        <v>505</v>
      </c>
      <c r="B68" s="155"/>
      <c r="C68" s="155"/>
    </row>
    <row r="69" spans="1:6" x14ac:dyDescent="0.2">
      <c r="A69" s="75" t="s">
        <v>506</v>
      </c>
      <c r="B69" s="77">
        <v>192</v>
      </c>
      <c r="C69" s="77">
        <v>288</v>
      </c>
    </row>
    <row r="70" spans="1:6" hidden="1" x14ac:dyDescent="0.2">
      <c r="A70" s="75" t="s">
        <v>507</v>
      </c>
      <c r="B70" s="77"/>
      <c r="C70" s="77"/>
    </row>
    <row r="71" spans="1:6" hidden="1" x14ac:dyDescent="0.2">
      <c r="A71" s="75" t="s">
        <v>528</v>
      </c>
      <c r="B71" s="77"/>
      <c r="C71" s="77"/>
    </row>
    <row r="72" spans="1:6" x14ac:dyDescent="0.2">
      <c r="A72" s="74" t="s">
        <v>508</v>
      </c>
      <c r="B72" s="45">
        <f>SUM(B68:B71)</f>
        <v>192</v>
      </c>
      <c r="C72" s="45">
        <f>SUM(C68:C71)</f>
        <v>288</v>
      </c>
    </row>
    <row r="73" spans="1:6" x14ac:dyDescent="0.2">
      <c r="B73" s="314">
        <f>Aktywa!D14-B72</f>
        <v>0</v>
      </c>
      <c r="C73" s="314">
        <f>Aktywa!E14-C72</f>
        <v>0</v>
      </c>
    </row>
  </sheetData>
  <mergeCells count="1">
    <mergeCell ref="B29:C29"/>
  </mergeCells>
  <phoneticPr fontId="31" type="noConversion"/>
  <pageMargins left="0.75" right="0.75" top="1" bottom="1" header="0.5" footer="0.5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topLeftCell="A16" zoomScaleNormal="100" zoomScaleSheetLayoutView="90" workbookViewId="0">
      <selection activeCell="B123" sqref="B123:F124"/>
    </sheetView>
  </sheetViews>
  <sheetFormatPr defaultColWidth="9.33203125" defaultRowHeight="10.199999999999999" x14ac:dyDescent="0.2"/>
  <cols>
    <col min="1" max="1" width="27" style="44" customWidth="1"/>
    <col min="2" max="5" width="15.6640625" style="44" customWidth="1"/>
    <col min="6" max="16384" width="9.33203125" style="44"/>
  </cols>
  <sheetData>
    <row r="1" spans="1:5" s="177" customFormat="1" ht="19.5" customHeight="1" x14ac:dyDescent="0.2">
      <c r="A1" s="759"/>
      <c r="B1" s="760"/>
      <c r="C1" s="760"/>
    </row>
    <row r="2" spans="1:5" s="177" customFormat="1" x14ac:dyDescent="0.2">
      <c r="A2" s="401" t="s">
        <v>675</v>
      </c>
      <c r="B2" s="44"/>
      <c r="C2" s="44"/>
    </row>
    <row r="3" spans="1:5" s="177" customFormat="1" x14ac:dyDescent="0.2">
      <c r="A3" s="178"/>
      <c r="B3" s="44"/>
      <c r="C3" s="44"/>
    </row>
    <row r="4" spans="1:5" x14ac:dyDescent="0.2">
      <c r="A4" s="427" t="s">
        <v>316</v>
      </c>
      <c r="B4" s="761" t="str">
        <f>'Dane podstawowe'!B7</f>
        <v>01.01.2020-31.12.2020</v>
      </c>
      <c r="C4" s="761"/>
      <c r="D4" s="761" t="str">
        <f>'Dane podstawowe'!B12</f>
        <v>01.01.2019-31.12.2019</v>
      </c>
      <c r="E4" s="761"/>
    </row>
    <row r="5" spans="1:5" x14ac:dyDescent="0.2">
      <c r="A5" s="427"/>
      <c r="B5" s="427" t="s">
        <v>15</v>
      </c>
      <c r="C5" s="427" t="s">
        <v>16</v>
      </c>
      <c r="D5" s="427" t="s">
        <v>15</v>
      </c>
      <c r="E5" s="427" t="s">
        <v>16</v>
      </c>
    </row>
    <row r="6" spans="1:5" ht="14.1" customHeight="1" x14ac:dyDescent="0.2">
      <c r="A6" s="761" t="s">
        <v>568</v>
      </c>
      <c r="B6" s="761"/>
      <c r="C6" s="761"/>
      <c r="D6" s="761"/>
      <c r="E6" s="761"/>
    </row>
    <row r="7" spans="1:5" ht="30.6" x14ac:dyDescent="0.2">
      <c r="A7" s="68" t="s">
        <v>124</v>
      </c>
      <c r="B7" s="402">
        <f>RZiS!D3</f>
        <v>54601405</v>
      </c>
      <c r="C7" s="402">
        <f>B7/$C$31</f>
        <v>12203612.936390864</v>
      </c>
      <c r="D7" s="402">
        <f>RZiS!E3</f>
        <v>58302506</v>
      </c>
      <c r="E7" s="402">
        <f>D7/$E$31</f>
        <v>13553048.956250871</v>
      </c>
    </row>
    <row r="8" spans="1:5" x14ac:dyDescent="0.2">
      <c r="A8" s="68" t="s">
        <v>125</v>
      </c>
      <c r="B8" s="402">
        <f>RZiS!D7</f>
        <v>55710459</v>
      </c>
      <c r="C8" s="402">
        <f>B8/$C$31</f>
        <v>12451490.545795897</v>
      </c>
      <c r="D8" s="402">
        <f>RZiS!E7</f>
        <v>59055325</v>
      </c>
      <c r="E8" s="402">
        <f>D8/$E$31</f>
        <v>13728049.886094192</v>
      </c>
    </row>
    <row r="9" spans="1:5" ht="20.399999999999999" x14ac:dyDescent="0.2">
      <c r="A9" s="68" t="s">
        <v>342</v>
      </c>
      <c r="B9" s="402">
        <f>RZiS!D21</f>
        <v>-1220119</v>
      </c>
      <c r="C9" s="402">
        <f>B9/$C$31</f>
        <v>-272701.04152697691</v>
      </c>
      <c r="D9" s="402">
        <f>RZiS!E21</f>
        <v>-883391</v>
      </c>
      <c r="E9" s="402">
        <f>D9/$E$31</f>
        <v>-205353.80538379282</v>
      </c>
    </row>
    <row r="10" spans="1:5" x14ac:dyDescent="0.2">
      <c r="A10" s="68" t="s">
        <v>126</v>
      </c>
      <c r="B10" s="402">
        <f>RZiS!D26</f>
        <v>-1750694</v>
      </c>
      <c r="C10" s="402">
        <f>B10/$C$31</f>
        <v>-391286.48696973763</v>
      </c>
      <c r="D10" s="402">
        <f>RZiS!E26</f>
        <v>-1138038</v>
      </c>
      <c r="E10" s="402">
        <f>D10/$E$31</f>
        <v>-264549.25844995119</v>
      </c>
    </row>
    <row r="11" spans="1:5" x14ac:dyDescent="0.2">
      <c r="A11" s="68" t="s">
        <v>127</v>
      </c>
      <c r="B11" s="402">
        <f>RZiS!D31</f>
        <v>-1378081</v>
      </c>
      <c r="C11" s="402">
        <f>B11/$C$31</f>
        <v>-308006.1239998212</v>
      </c>
      <c r="D11" s="402">
        <f>RZiS!E31</f>
        <v>-1352454</v>
      </c>
      <c r="E11" s="402">
        <f>D11/$E$31</f>
        <v>-314392.57985029521</v>
      </c>
    </row>
    <row r="12" spans="1:5" x14ac:dyDescent="0.2">
      <c r="A12" s="68" t="s">
        <v>128</v>
      </c>
      <c r="B12" s="402">
        <v>2485775</v>
      </c>
      <c r="C12" s="402">
        <v>2485775</v>
      </c>
      <c r="D12" s="402">
        <v>2485775</v>
      </c>
      <c r="E12" s="402">
        <f>D12</f>
        <v>2485775</v>
      </c>
    </row>
    <row r="13" spans="1:5" ht="20.399999999999999" x14ac:dyDescent="0.2">
      <c r="A13" s="68" t="s">
        <v>130</v>
      </c>
      <c r="B13" s="428">
        <f>B11/B12</f>
        <v>-0.55438686124045822</v>
      </c>
      <c r="C13" s="428">
        <f>B13/$C$31</f>
        <v>-0.12390748317921824</v>
      </c>
      <c r="D13" s="428">
        <f>D11/D12</f>
        <v>-0.54407740040832331</v>
      </c>
      <c r="E13" s="428">
        <f>D13/$E$31</f>
        <v>-0.12647668427363506</v>
      </c>
    </row>
    <row r="14" spans="1:5" x14ac:dyDescent="0.2">
      <c r="A14" s="68"/>
      <c r="B14" s="402"/>
      <c r="C14" s="402"/>
      <c r="D14" s="402"/>
      <c r="E14" s="402"/>
    </row>
    <row r="15" spans="1:5" ht="14.1" customHeight="1" x14ac:dyDescent="0.2">
      <c r="A15" s="761" t="s">
        <v>569</v>
      </c>
      <c r="B15" s="761"/>
      <c r="C15" s="761"/>
      <c r="D15" s="761"/>
      <c r="E15" s="761"/>
    </row>
    <row r="16" spans="1:5" x14ac:dyDescent="0.2">
      <c r="A16" s="68" t="s">
        <v>495</v>
      </c>
      <c r="B16" s="402">
        <f>Aktywa!D3</f>
        <v>21115818</v>
      </c>
      <c r="C16" s="402">
        <f t="shared" ref="C16:C20" si="0">B16/$C$30</f>
        <v>4575673.4853081396</v>
      </c>
      <c r="D16" s="402">
        <f>Aktywa!E3</f>
        <v>23462978</v>
      </c>
      <c r="E16" s="402">
        <f t="shared" ref="E16:E21" si="1">D16/$E$30</f>
        <v>5509681.3431959618</v>
      </c>
    </row>
    <row r="17" spans="1:5" x14ac:dyDescent="0.2">
      <c r="A17" s="68" t="s">
        <v>496</v>
      </c>
      <c r="B17" s="402">
        <f>Aktywa!D15</f>
        <v>17607662</v>
      </c>
      <c r="C17" s="402">
        <f t="shared" si="0"/>
        <v>3815476.7270520935</v>
      </c>
      <c r="D17" s="402">
        <f>Aktywa!E15</f>
        <v>16004545</v>
      </c>
      <c r="E17" s="402">
        <f t="shared" si="1"/>
        <v>3758258.7765645185</v>
      </c>
    </row>
    <row r="18" spans="1:5" x14ac:dyDescent="0.2">
      <c r="A18" s="68" t="s">
        <v>62</v>
      </c>
      <c r="B18" s="402">
        <f>Pasywa!D3</f>
        <v>21345563</v>
      </c>
      <c r="C18" s="402">
        <f t="shared" si="0"/>
        <v>4625457.8746641241</v>
      </c>
      <c r="D18" s="402">
        <f>Pasywa!E3</f>
        <v>22626175</v>
      </c>
      <c r="E18" s="402">
        <f t="shared" si="1"/>
        <v>5313179.5233063288</v>
      </c>
    </row>
    <row r="19" spans="1:5" x14ac:dyDescent="0.2">
      <c r="A19" s="68" t="s">
        <v>314</v>
      </c>
      <c r="B19" s="402">
        <f>Pasywa!D12</f>
        <v>2673276</v>
      </c>
      <c r="C19" s="402">
        <f t="shared" si="0"/>
        <v>579283.17586894345</v>
      </c>
      <c r="D19" s="402">
        <f>Pasywa!E12</f>
        <v>3735423</v>
      </c>
      <c r="E19" s="402">
        <f t="shared" si="1"/>
        <v>877168.72138076788</v>
      </c>
    </row>
    <row r="20" spans="1:5" x14ac:dyDescent="0.2">
      <c r="A20" s="68" t="s">
        <v>313</v>
      </c>
      <c r="B20" s="402">
        <f>Pasywa!D20</f>
        <v>14704641</v>
      </c>
      <c r="C20" s="402">
        <f t="shared" si="0"/>
        <v>3186409.1618271647</v>
      </c>
      <c r="D20" s="402">
        <f>Pasywa!E20</f>
        <v>13105925</v>
      </c>
      <c r="E20" s="402">
        <f t="shared" si="1"/>
        <v>3077591.8750733826</v>
      </c>
    </row>
    <row r="21" spans="1:5" x14ac:dyDescent="0.2">
      <c r="A21" s="68" t="s">
        <v>129</v>
      </c>
      <c r="B21" s="428">
        <f>B18/'wybrane dane finansowe'!B12</f>
        <v>8.5870857177339062</v>
      </c>
      <c r="C21" s="428">
        <f>B21/$C$30</f>
        <v>1.8607709364943024</v>
      </c>
      <c r="D21" s="428">
        <f>D18/'wybrane dane finansowe'!D12</f>
        <v>9.1022618700405307</v>
      </c>
      <c r="E21" s="428">
        <f t="shared" si="1"/>
        <v>2.1374338076882777</v>
      </c>
    </row>
    <row r="22" spans="1:5" x14ac:dyDescent="0.2">
      <c r="A22" s="322"/>
      <c r="B22" s="322"/>
      <c r="C22" s="322"/>
      <c r="D22" s="322"/>
      <c r="E22" s="322"/>
    </row>
    <row r="23" spans="1:5" ht="14.1" customHeight="1" x14ac:dyDescent="0.2">
      <c r="A23" s="763" t="s">
        <v>570</v>
      </c>
      <c r="B23" s="763"/>
      <c r="C23" s="763"/>
      <c r="D23" s="763"/>
      <c r="E23" s="763"/>
    </row>
    <row r="24" spans="1:5" ht="20.399999999999999" x14ac:dyDescent="0.2">
      <c r="A24" s="68" t="s">
        <v>353</v>
      </c>
      <c r="B24" s="402">
        <f>RPP!C23</f>
        <v>6355515</v>
      </c>
      <c r="C24" s="402">
        <f>B24/$C$31</f>
        <v>1420480.7563363283</v>
      </c>
      <c r="D24" s="402">
        <f>RPP!D23</f>
        <v>3473299</v>
      </c>
      <c r="E24" s="402">
        <f>D24/$E$31</f>
        <v>807405.96959412342</v>
      </c>
    </row>
    <row r="25" spans="1:5" ht="20.399999999999999" x14ac:dyDescent="0.2">
      <c r="A25" s="68" t="s">
        <v>356</v>
      </c>
      <c r="B25" s="402">
        <f>RPP!C36</f>
        <v>-2875201</v>
      </c>
      <c r="C25" s="402">
        <f>B25/$C$31</f>
        <v>-642617.89817174023</v>
      </c>
      <c r="D25" s="402">
        <f>RPP!D36</f>
        <v>-3062686</v>
      </c>
      <c r="E25" s="402">
        <f>D25/$E$31</f>
        <v>-711954.53066158353</v>
      </c>
    </row>
    <row r="26" spans="1:5" ht="20.399999999999999" x14ac:dyDescent="0.2">
      <c r="A26" s="68" t="s">
        <v>362</v>
      </c>
      <c r="B26" s="402">
        <f>RPP!C53</f>
        <v>-767909</v>
      </c>
      <c r="C26" s="402">
        <f>B26/$C$31</f>
        <v>-171630.45907648295</v>
      </c>
      <c r="D26" s="402">
        <f>RPP!D53</f>
        <v>561768</v>
      </c>
      <c r="E26" s="402">
        <f>D26/$E$31</f>
        <v>130589.05574410711</v>
      </c>
    </row>
    <row r="29" spans="1:5" x14ac:dyDescent="0.2">
      <c r="A29" s="52" t="s">
        <v>571</v>
      </c>
      <c r="B29" s="52"/>
      <c r="C29" s="52">
        <v>2020</v>
      </c>
      <c r="D29" s="52"/>
      <c r="E29" s="52">
        <v>2019</v>
      </c>
    </row>
    <row r="30" spans="1:5" x14ac:dyDescent="0.2">
      <c r="A30" s="403" t="s">
        <v>572</v>
      </c>
      <c r="C30" s="723">
        <v>4.6147999999999998</v>
      </c>
      <c r="E30" s="650">
        <v>4.2584999999999997</v>
      </c>
    </row>
    <row r="31" spans="1:5" x14ac:dyDescent="0.2">
      <c r="A31" s="403" t="s">
        <v>573</v>
      </c>
      <c r="C31" s="723">
        <v>4.4741999999999997</v>
      </c>
      <c r="E31" s="650">
        <v>4.3018000000000001</v>
      </c>
    </row>
    <row r="34" spans="1:5" ht="37.5" customHeight="1" x14ac:dyDescent="0.2">
      <c r="A34" s="762" t="s">
        <v>574</v>
      </c>
      <c r="B34" s="762"/>
      <c r="C34" s="762"/>
      <c r="D34" s="762"/>
      <c r="E34" s="762"/>
    </row>
  </sheetData>
  <mergeCells count="7">
    <mergeCell ref="A1:C1"/>
    <mergeCell ref="B4:C4"/>
    <mergeCell ref="D4:E4"/>
    <mergeCell ref="A34:E34"/>
    <mergeCell ref="A6:E6"/>
    <mergeCell ref="A15:E15"/>
    <mergeCell ref="A23:E23"/>
  </mergeCells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view="pageBreakPreview" topLeftCell="A61" zoomScaleNormal="100" zoomScaleSheetLayoutView="100" workbookViewId="0">
      <selection activeCell="A62" sqref="A62:E75"/>
    </sheetView>
  </sheetViews>
  <sheetFormatPr defaultColWidth="9.33203125" defaultRowHeight="10.199999999999999" x14ac:dyDescent="0.25"/>
  <cols>
    <col min="1" max="1" width="50.5546875" style="137" customWidth="1"/>
    <col min="2" max="4" width="14.5546875" style="137" customWidth="1"/>
    <col min="5" max="5" width="11.44140625" style="137" customWidth="1"/>
    <col min="6" max="6" width="18.5546875" style="137" customWidth="1"/>
    <col min="7" max="7" width="14.5546875" style="137" customWidth="1"/>
    <col min="8" max="16384" width="9.33203125" style="137"/>
  </cols>
  <sheetData>
    <row r="1" spans="1:6" x14ac:dyDescent="0.25">
      <c r="A1" s="178"/>
    </row>
    <row r="2" spans="1:6" x14ac:dyDescent="0.25">
      <c r="A2" s="135"/>
    </row>
    <row r="3" spans="1:6" ht="13.2" x14ac:dyDescent="0.25">
      <c r="A3" s="399" t="s">
        <v>1067</v>
      </c>
      <c r="B3" s="399"/>
      <c r="C3" s="399"/>
      <c r="D3" s="399"/>
      <c r="E3" s="399"/>
      <c r="F3" s="399"/>
    </row>
    <row r="4" spans="1:6" x14ac:dyDescent="0.25">
      <c r="A4" s="134"/>
    </row>
    <row r="5" spans="1:6" s="355" customFormat="1" x14ac:dyDescent="0.2">
      <c r="A5" s="115" t="s">
        <v>174</v>
      </c>
      <c r="B5" s="435">
        <v>44196</v>
      </c>
      <c r="C5" s="435">
        <v>43830</v>
      </c>
    </row>
    <row r="6" spans="1:6" s="44" customFormat="1" x14ac:dyDescent="0.2">
      <c r="A6" s="64" t="s">
        <v>499</v>
      </c>
      <c r="B6" s="207">
        <v>227296</v>
      </c>
      <c r="C6" s="207">
        <v>212778</v>
      </c>
    </row>
    <row r="7" spans="1:6" s="44" customFormat="1" x14ac:dyDescent="0.2">
      <c r="A7" s="64" t="s">
        <v>500</v>
      </c>
      <c r="B7" s="322">
        <v>0</v>
      </c>
      <c r="C7" s="322">
        <v>0</v>
      </c>
    </row>
    <row r="8" spans="1:6" s="44" customFormat="1" ht="12.75" hidden="1" customHeight="1" x14ac:dyDescent="0.2">
      <c r="A8" s="64" t="s">
        <v>440</v>
      </c>
      <c r="B8" s="322">
        <v>0</v>
      </c>
      <c r="C8" s="322">
        <v>0</v>
      </c>
    </row>
    <row r="9" spans="1:6" s="44" customFormat="1" hidden="1" x14ac:dyDescent="0.2">
      <c r="A9" s="64" t="s">
        <v>501</v>
      </c>
      <c r="B9" s="322">
        <v>0</v>
      </c>
      <c r="C9" s="322">
        <v>0</v>
      </c>
    </row>
    <row r="10" spans="1:6" s="44" customFormat="1" hidden="1" x14ac:dyDescent="0.2">
      <c r="A10" s="64" t="s">
        <v>502</v>
      </c>
      <c r="B10" s="322">
        <v>0</v>
      </c>
      <c r="C10" s="322">
        <v>0</v>
      </c>
    </row>
    <row r="11" spans="1:6" s="44" customFormat="1" hidden="1" x14ac:dyDescent="0.2">
      <c r="A11" s="64" t="s">
        <v>234</v>
      </c>
      <c r="B11" s="322">
        <v>0</v>
      </c>
      <c r="C11" s="322">
        <v>0</v>
      </c>
    </row>
    <row r="12" spans="1:6" s="44" customFormat="1" hidden="1" x14ac:dyDescent="0.2">
      <c r="A12" s="64" t="s">
        <v>235</v>
      </c>
      <c r="B12" s="322">
        <v>0</v>
      </c>
      <c r="C12" s="322">
        <v>0</v>
      </c>
    </row>
    <row r="13" spans="1:6" s="44" customFormat="1" hidden="1" x14ac:dyDescent="0.2">
      <c r="A13" s="64" t="s">
        <v>503</v>
      </c>
      <c r="B13" s="322">
        <v>0</v>
      </c>
      <c r="C13" s="322">
        <v>0</v>
      </c>
    </row>
    <row r="14" spans="1:6" s="44" customFormat="1" x14ac:dyDescent="0.2">
      <c r="A14" s="121" t="s">
        <v>27</v>
      </c>
      <c r="B14" s="90">
        <f>B6+B8+B9+B10+B11+B12+B13</f>
        <v>227296</v>
      </c>
      <c r="C14" s="90">
        <f>C6+C8+C9+C10+C11+C12+C13</f>
        <v>212778</v>
      </c>
    </row>
    <row r="15" spans="1:6" s="44" customFormat="1" x14ac:dyDescent="0.2">
      <c r="B15" s="314">
        <f>B14-Aktywa!D11</f>
        <v>0</v>
      </c>
      <c r="C15" s="314">
        <f>C14-Aktywa!E11</f>
        <v>0</v>
      </c>
    </row>
    <row r="16" spans="1:6" s="44" customFormat="1" x14ac:dyDescent="0.2"/>
    <row r="17" spans="1:3" x14ac:dyDescent="0.25">
      <c r="A17" s="71" t="s">
        <v>177</v>
      </c>
      <c r="B17" s="435">
        <f>B5</f>
        <v>44196</v>
      </c>
      <c r="C17" s="435">
        <f>C5</f>
        <v>43830</v>
      </c>
    </row>
    <row r="18" spans="1:3" x14ac:dyDescent="0.2">
      <c r="A18" s="64" t="s">
        <v>499</v>
      </c>
      <c r="B18" s="207">
        <v>45166</v>
      </c>
      <c r="C18" s="207">
        <v>0</v>
      </c>
    </row>
    <row r="19" spans="1:3" x14ac:dyDescent="0.2">
      <c r="A19" s="64" t="s">
        <v>500</v>
      </c>
      <c r="B19" s="207">
        <v>0</v>
      </c>
      <c r="C19" s="207">
        <v>0</v>
      </c>
    </row>
    <row r="20" spans="1:3" hidden="1" x14ac:dyDescent="0.2">
      <c r="A20" s="64" t="s">
        <v>440</v>
      </c>
      <c r="B20" s="207">
        <v>0</v>
      </c>
      <c r="C20" s="207">
        <v>0</v>
      </c>
    </row>
    <row r="21" spans="1:3" hidden="1" x14ac:dyDescent="0.2">
      <c r="A21" s="64" t="s">
        <v>501</v>
      </c>
      <c r="B21" s="207">
        <v>0</v>
      </c>
      <c r="C21" s="207">
        <v>0</v>
      </c>
    </row>
    <row r="22" spans="1:3" hidden="1" x14ac:dyDescent="0.2">
      <c r="A22" s="64" t="s">
        <v>502</v>
      </c>
      <c r="B22" s="207">
        <v>0</v>
      </c>
      <c r="C22" s="207">
        <v>0</v>
      </c>
    </row>
    <row r="23" spans="1:3" hidden="1" x14ac:dyDescent="0.2">
      <c r="A23" s="64" t="s">
        <v>236</v>
      </c>
      <c r="B23" s="207">
        <v>0</v>
      </c>
      <c r="C23" s="207">
        <v>0</v>
      </c>
    </row>
    <row r="24" spans="1:3" hidden="1" x14ac:dyDescent="0.2">
      <c r="A24" s="64" t="s">
        <v>503</v>
      </c>
      <c r="B24" s="207">
        <v>0</v>
      </c>
      <c r="C24" s="207">
        <v>0</v>
      </c>
    </row>
    <row r="25" spans="1:3" x14ac:dyDescent="0.2">
      <c r="A25" s="121" t="s">
        <v>27</v>
      </c>
      <c r="B25" s="90">
        <f>B18+B20+B21+B22+B23+B24</f>
        <v>45166</v>
      </c>
      <c r="C25" s="90">
        <f>C18+C20+C21+C22+C23+C24</f>
        <v>0</v>
      </c>
    </row>
    <row r="26" spans="1:3" x14ac:dyDescent="0.25">
      <c r="A26" s="136"/>
      <c r="B26" s="320">
        <f>Aktywa!D20-B25</f>
        <v>0</v>
      </c>
      <c r="C26" s="320">
        <f>Aktywa!E20-C25</f>
        <v>0</v>
      </c>
    </row>
    <row r="27" spans="1:3" x14ac:dyDescent="0.25">
      <c r="A27" s="136" t="s">
        <v>518</v>
      </c>
    </row>
    <row r="28" spans="1:3" x14ac:dyDescent="0.25">
      <c r="A28" s="136"/>
    </row>
    <row r="29" spans="1:3" x14ac:dyDescent="0.25">
      <c r="A29" s="138"/>
      <c r="B29" s="435">
        <f>B5</f>
        <v>44196</v>
      </c>
      <c r="C29" s="435">
        <f>C5</f>
        <v>43830</v>
      </c>
    </row>
    <row r="30" spans="1:3" x14ac:dyDescent="0.25">
      <c r="A30" s="36" t="s">
        <v>520</v>
      </c>
      <c r="B30" s="139">
        <f>272462+670014</f>
        <v>942476</v>
      </c>
      <c r="C30" s="139">
        <v>457250</v>
      </c>
    </row>
    <row r="31" spans="1:3" x14ac:dyDescent="0.25">
      <c r="A31" s="104" t="s">
        <v>521</v>
      </c>
      <c r="B31" s="139">
        <v>0</v>
      </c>
      <c r="C31" s="139">
        <v>0</v>
      </c>
    </row>
    <row r="32" spans="1:3" x14ac:dyDescent="0.25">
      <c r="A32" s="36" t="s">
        <v>522</v>
      </c>
      <c r="B32" s="139">
        <v>670014</v>
      </c>
      <c r="C32" s="139">
        <v>244472</v>
      </c>
    </row>
    <row r="33" spans="1:3" x14ac:dyDescent="0.25">
      <c r="A33" s="61" t="s">
        <v>523</v>
      </c>
      <c r="B33" s="78">
        <f>B30-B32</f>
        <v>272462</v>
      </c>
      <c r="C33" s="78">
        <f>C30-C32</f>
        <v>212778</v>
      </c>
    </row>
    <row r="34" spans="1:3" x14ac:dyDescent="0.25">
      <c r="A34" s="70" t="s">
        <v>516</v>
      </c>
      <c r="B34" s="83">
        <v>227296</v>
      </c>
      <c r="C34" s="83">
        <v>212778</v>
      </c>
    </row>
    <row r="35" spans="1:3" x14ac:dyDescent="0.25">
      <c r="A35" s="70" t="s">
        <v>517</v>
      </c>
      <c r="B35" s="83">
        <v>45166</v>
      </c>
      <c r="C35" s="83">
        <v>0</v>
      </c>
    </row>
    <row r="36" spans="1:3" x14ac:dyDescent="0.25">
      <c r="A36" s="754"/>
      <c r="B36" s="755"/>
      <c r="C36" s="755"/>
    </row>
    <row r="37" spans="1:3" x14ac:dyDescent="0.25">
      <c r="A37" s="136" t="s">
        <v>402</v>
      </c>
      <c r="B37" s="755"/>
      <c r="C37" s="755"/>
    </row>
    <row r="38" spans="1:3" x14ac:dyDescent="0.25">
      <c r="A38" s="754"/>
      <c r="B38" s="755"/>
      <c r="C38" s="755"/>
    </row>
    <row r="39" spans="1:3" x14ac:dyDescent="0.25">
      <c r="A39" s="756" t="s">
        <v>1066</v>
      </c>
      <c r="B39" s="755"/>
      <c r="C39" s="755"/>
    </row>
    <row r="40" spans="1:3" x14ac:dyDescent="0.25">
      <c r="A40" s="754"/>
      <c r="B40" s="755"/>
      <c r="C40" s="755"/>
    </row>
    <row r="41" spans="1:3" x14ac:dyDescent="0.25">
      <c r="A41" s="439" t="s">
        <v>1004</v>
      </c>
      <c r="B41" s="435">
        <v>44196</v>
      </c>
      <c r="C41" s="435">
        <v>43830</v>
      </c>
    </row>
    <row r="42" spans="1:3" x14ac:dyDescent="0.2">
      <c r="A42" s="750" t="s">
        <v>1005</v>
      </c>
      <c r="B42" s="721">
        <f>SUM(B43:B46)</f>
        <v>17885259</v>
      </c>
      <c r="C42" s="721">
        <f>SUM(C43:C46)</f>
        <v>16161747</v>
      </c>
    </row>
    <row r="43" spans="1:3" x14ac:dyDescent="0.2">
      <c r="A43" s="541" t="s">
        <v>85</v>
      </c>
      <c r="B43" s="423">
        <v>272462</v>
      </c>
      <c r="C43" s="423">
        <v>212778</v>
      </c>
    </row>
    <row r="44" spans="1:3" x14ac:dyDescent="0.2">
      <c r="A44" s="541" t="s">
        <v>324</v>
      </c>
      <c r="B44" s="423">
        <v>10844736</v>
      </c>
      <c r="C44" s="423">
        <v>11227678</v>
      </c>
    </row>
    <row r="45" spans="1:3" x14ac:dyDescent="0.2">
      <c r="A45" s="541" t="s">
        <v>866</v>
      </c>
      <c r="B45" s="423">
        <v>816164</v>
      </c>
      <c r="C45" s="423">
        <v>1481799</v>
      </c>
    </row>
    <row r="46" spans="1:3" x14ac:dyDescent="0.2">
      <c r="A46" s="47" t="s">
        <v>325</v>
      </c>
      <c r="B46" s="423">
        <v>5951897</v>
      </c>
      <c r="C46" s="423">
        <v>3239492</v>
      </c>
    </row>
    <row r="47" spans="1:3" x14ac:dyDescent="0.2">
      <c r="A47" s="47"/>
      <c r="B47" s="721"/>
      <c r="C47" s="721"/>
    </row>
    <row r="48" spans="1:3" x14ac:dyDescent="0.2">
      <c r="A48" s="750" t="s">
        <v>1006</v>
      </c>
      <c r="B48" s="721">
        <f t="shared" ref="B48:C48" si="0">SUM(B49:B52)</f>
        <v>13989165</v>
      </c>
      <c r="C48" s="721">
        <f t="shared" si="0"/>
        <v>14053987</v>
      </c>
    </row>
    <row r="49" spans="1:5" x14ac:dyDescent="0.2">
      <c r="A49" s="47" t="s">
        <v>48</v>
      </c>
      <c r="B49" s="423">
        <v>3223184</v>
      </c>
      <c r="C49" s="423">
        <v>2955460</v>
      </c>
    </row>
    <row r="50" spans="1:5" x14ac:dyDescent="0.2">
      <c r="A50" s="47" t="s">
        <v>136</v>
      </c>
      <c r="B50" s="423">
        <v>2445869</v>
      </c>
      <c r="C50" s="423">
        <v>2492765</v>
      </c>
    </row>
    <row r="51" spans="1:5" x14ac:dyDescent="0.2">
      <c r="A51" s="724" t="s">
        <v>337</v>
      </c>
      <c r="B51" s="423">
        <v>6204158</v>
      </c>
      <c r="C51" s="423">
        <v>6634704</v>
      </c>
    </row>
    <row r="52" spans="1:5" x14ac:dyDescent="0.2">
      <c r="A52" s="724" t="s">
        <v>1007</v>
      </c>
      <c r="B52" s="423">
        <v>2115954</v>
      </c>
      <c r="C52" s="423">
        <v>1971058</v>
      </c>
    </row>
    <row r="53" spans="1:5" x14ac:dyDescent="0.2">
      <c r="A53" s="724"/>
      <c r="B53" s="721"/>
      <c r="C53" s="721"/>
    </row>
    <row r="54" spans="1:5" ht="20.399999999999999" x14ac:dyDescent="0.2">
      <c r="A54" s="750" t="s">
        <v>1008</v>
      </c>
      <c r="B54" s="721">
        <v>0</v>
      </c>
      <c r="C54" s="721">
        <v>0</v>
      </c>
    </row>
    <row r="55" spans="1:5" x14ac:dyDescent="0.2">
      <c r="A55" s="750"/>
      <c r="B55" s="721"/>
      <c r="C55" s="721"/>
    </row>
    <row r="56" spans="1:5" ht="20.399999999999999" x14ac:dyDescent="0.2">
      <c r="A56" s="750" t="s">
        <v>1009</v>
      </c>
      <c r="B56" s="721">
        <v>0</v>
      </c>
      <c r="C56" s="721">
        <v>0</v>
      </c>
    </row>
    <row r="57" spans="1:5" x14ac:dyDescent="0.2">
      <c r="A57" s="757"/>
      <c r="B57" s="758"/>
      <c r="C57" s="758"/>
    </row>
    <row r="58" spans="1:5" x14ac:dyDescent="0.2">
      <c r="A58" s="757"/>
      <c r="B58" s="758"/>
      <c r="C58" s="758"/>
    </row>
    <row r="59" spans="1:5" ht="20.399999999999999" x14ac:dyDescent="0.2">
      <c r="A59" s="757" t="s">
        <v>1068</v>
      </c>
      <c r="B59" s="758"/>
      <c r="C59" s="758"/>
    </row>
    <row r="60" spans="1:5" x14ac:dyDescent="0.2">
      <c r="A60" s="757"/>
      <c r="B60" s="758"/>
      <c r="C60" s="758"/>
    </row>
    <row r="61" spans="1:5" x14ac:dyDescent="0.2">
      <c r="A61" s="757"/>
      <c r="B61" s="758"/>
      <c r="C61" s="758"/>
    </row>
    <row r="62" spans="1:5" ht="71.400000000000006" x14ac:dyDescent="0.25">
      <c r="A62" s="439">
        <v>44196</v>
      </c>
      <c r="B62" s="753" t="s">
        <v>975</v>
      </c>
      <c r="C62" s="753" t="s">
        <v>976</v>
      </c>
      <c r="D62" s="753" t="s">
        <v>977</v>
      </c>
      <c r="E62" s="753" t="s">
        <v>978</v>
      </c>
    </row>
    <row r="63" spans="1:5" x14ac:dyDescent="0.2">
      <c r="A63" s="750" t="s">
        <v>979</v>
      </c>
      <c r="B63" s="423">
        <v>19863</v>
      </c>
      <c r="C63" s="423">
        <v>-85148</v>
      </c>
      <c r="D63" s="423">
        <f>D130</f>
        <v>0</v>
      </c>
      <c r="E63" s="423">
        <f>E130</f>
        <v>0</v>
      </c>
    </row>
    <row r="64" spans="1:5" x14ac:dyDescent="0.2">
      <c r="A64" s="541" t="s">
        <v>980</v>
      </c>
      <c r="B64" s="720">
        <v>50736</v>
      </c>
      <c r="C64" s="720">
        <f>-42566</f>
        <v>-42566</v>
      </c>
      <c r="D64" s="423">
        <v>0</v>
      </c>
      <c r="E64" s="423">
        <v>0</v>
      </c>
    </row>
    <row r="65" spans="1:5" x14ac:dyDescent="0.2">
      <c r="A65" s="541" t="s">
        <v>981</v>
      </c>
      <c r="B65" s="423">
        <v>-1227566</v>
      </c>
      <c r="C65" s="423">
        <v>0</v>
      </c>
      <c r="D65" s="423">
        <f>D63+D64</f>
        <v>0</v>
      </c>
      <c r="E65" s="423">
        <f>E63+E64</f>
        <v>0</v>
      </c>
    </row>
    <row r="66" spans="1:5" x14ac:dyDescent="0.2">
      <c r="A66" s="541" t="s">
        <v>982</v>
      </c>
      <c r="B66" s="423">
        <v>0</v>
      </c>
      <c r="C66" s="423">
        <v>0</v>
      </c>
      <c r="D66" s="423">
        <v>0</v>
      </c>
      <c r="E66" s="423">
        <v>0</v>
      </c>
    </row>
    <row r="67" spans="1:5" x14ac:dyDescent="0.2">
      <c r="A67" s="47" t="s">
        <v>983</v>
      </c>
      <c r="B67" s="423">
        <v>0</v>
      </c>
      <c r="C67" s="423">
        <v>0</v>
      </c>
      <c r="D67" s="423">
        <v>0</v>
      </c>
      <c r="E67" s="423">
        <v>0</v>
      </c>
    </row>
    <row r="68" spans="1:5" x14ac:dyDescent="0.2">
      <c r="A68" s="47" t="s">
        <v>984</v>
      </c>
      <c r="B68" s="324">
        <v>0</v>
      </c>
      <c r="C68" s="324">
        <v>0</v>
      </c>
      <c r="D68" s="324">
        <v>0</v>
      </c>
      <c r="E68" s="324">
        <v>0</v>
      </c>
    </row>
    <row r="69" spans="1:5" ht="71.400000000000006" x14ac:dyDescent="0.25">
      <c r="A69" s="439">
        <v>43830</v>
      </c>
      <c r="B69" s="753" t="s">
        <v>975</v>
      </c>
      <c r="C69" s="753" t="s">
        <v>976</v>
      </c>
      <c r="D69" s="753" t="s">
        <v>977</v>
      </c>
      <c r="E69" s="753" t="s">
        <v>978</v>
      </c>
    </row>
    <row r="70" spans="1:5" x14ac:dyDescent="0.2">
      <c r="A70" s="750" t="s">
        <v>979</v>
      </c>
      <c r="B70" s="423">
        <v>11217</v>
      </c>
      <c r="C70" s="423">
        <v>-168081</v>
      </c>
      <c r="D70" s="423">
        <f>C137</f>
        <v>0</v>
      </c>
      <c r="E70" s="423">
        <f>D137</f>
        <v>0</v>
      </c>
    </row>
    <row r="71" spans="1:5" x14ac:dyDescent="0.2">
      <c r="A71" s="541" t="s">
        <v>980</v>
      </c>
      <c r="B71" s="720">
        <v>-14297</v>
      </c>
      <c r="C71" s="720">
        <v>37571</v>
      </c>
      <c r="D71" s="423">
        <v>0</v>
      </c>
      <c r="E71" s="423">
        <v>0</v>
      </c>
    </row>
    <row r="72" spans="1:5" x14ac:dyDescent="0.2">
      <c r="A72" s="541" t="s">
        <v>985</v>
      </c>
      <c r="B72" s="423">
        <v>-555622</v>
      </c>
      <c r="C72" s="423">
        <v>0</v>
      </c>
      <c r="D72" s="423">
        <v>0</v>
      </c>
      <c r="E72" s="423">
        <v>0</v>
      </c>
    </row>
    <row r="73" spans="1:5" x14ac:dyDescent="0.2">
      <c r="A73" s="541" t="s">
        <v>982</v>
      </c>
      <c r="B73" s="423">
        <v>0</v>
      </c>
      <c r="C73" s="423">
        <v>0</v>
      </c>
      <c r="D73" s="423">
        <v>0</v>
      </c>
      <c r="E73" s="423">
        <v>0</v>
      </c>
    </row>
    <row r="74" spans="1:5" x14ac:dyDescent="0.2">
      <c r="A74" s="47" t="s">
        <v>983</v>
      </c>
      <c r="B74" s="423">
        <v>0</v>
      </c>
      <c r="C74" s="423">
        <v>0</v>
      </c>
      <c r="D74" s="423">
        <v>0</v>
      </c>
      <c r="E74" s="423">
        <v>0</v>
      </c>
    </row>
    <row r="75" spans="1:5" x14ac:dyDescent="0.2">
      <c r="A75" s="47" t="s">
        <v>984</v>
      </c>
      <c r="B75" s="423">
        <v>0</v>
      </c>
      <c r="C75" s="423">
        <v>0</v>
      </c>
      <c r="D75" s="423">
        <v>0</v>
      </c>
      <c r="E75" s="423">
        <v>0</v>
      </c>
    </row>
    <row r="76" spans="1:5" x14ac:dyDescent="0.25">
      <c r="A76" s="754"/>
      <c r="B76" s="755"/>
      <c r="C76" s="755"/>
    </row>
    <row r="77" spans="1:5" x14ac:dyDescent="0.25">
      <c r="A77" s="754"/>
      <c r="B77" s="755"/>
      <c r="C77" s="755"/>
    </row>
    <row r="78" spans="1:5" x14ac:dyDescent="0.25">
      <c r="A78" s="754"/>
      <c r="B78" s="755"/>
      <c r="C78" s="755"/>
    </row>
    <row r="79" spans="1:5" x14ac:dyDescent="0.25">
      <c r="A79" s="754"/>
      <c r="B79" s="755"/>
      <c r="C79" s="755"/>
    </row>
    <row r="80" spans="1:5" x14ac:dyDescent="0.25">
      <c r="A80" s="754"/>
      <c r="B80" s="755"/>
      <c r="C80" s="755"/>
    </row>
    <row r="81" spans="1:3" x14ac:dyDescent="0.25">
      <c r="A81" s="754"/>
      <c r="B81" s="755"/>
      <c r="C81" s="755"/>
    </row>
  </sheetData>
  <phoneticPr fontId="6" type="noConversion"/>
  <pageMargins left="0.75" right="0.75" top="1" bottom="1" header="0.5" footer="0.5"/>
  <pageSetup paperSize="9" scale="63" orientation="portrait" r:id="rId1"/>
  <headerFooter alignWithMargins="0"/>
  <rowBreaks count="1" manualBreakCount="1">
    <brk id="2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N133"/>
  <sheetViews>
    <sheetView showGridLines="0" view="pageBreakPreview" topLeftCell="A79" zoomScaleNormal="100" zoomScaleSheetLayoutView="100" workbookViewId="0">
      <selection activeCell="I126" sqref="I126"/>
    </sheetView>
  </sheetViews>
  <sheetFormatPr defaultColWidth="9.33203125" defaultRowHeight="13.2" x14ac:dyDescent="0.25"/>
  <cols>
    <col min="1" max="1" width="38.33203125" customWidth="1"/>
    <col min="2" max="2" width="12.33203125" customWidth="1"/>
    <col min="3" max="3" width="13.44140625" customWidth="1"/>
    <col min="4" max="7" width="8.6640625" customWidth="1"/>
    <col min="8" max="8" width="9.33203125" customWidth="1"/>
    <col min="9" max="12" width="12.33203125" customWidth="1"/>
  </cols>
  <sheetData>
    <row r="1" spans="1:14" x14ac:dyDescent="0.25">
      <c r="A1" s="38"/>
    </row>
    <row r="2" spans="1:14" s="44" customFormat="1" x14ac:dyDescent="0.25">
      <c r="A2" s="399" t="s">
        <v>1069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4" s="44" customFormat="1" ht="10.199999999999999" x14ac:dyDescent="0.2">
      <c r="B3" s="793"/>
      <c r="C3" s="793"/>
      <c r="D3" s="793"/>
      <c r="E3" s="793"/>
      <c r="F3" s="793"/>
      <c r="G3" s="793"/>
      <c r="H3" s="793"/>
    </row>
    <row r="4" spans="1:14" s="44" customFormat="1" ht="10.199999999999999" x14ac:dyDescent="0.2">
      <c r="A4" s="115" t="s">
        <v>316</v>
      </c>
      <c r="B4" s="435">
        <f>Aktywa!D2</f>
        <v>44196</v>
      </c>
      <c r="C4" s="435">
        <v>43830</v>
      </c>
      <c r="D4" s="459"/>
      <c r="E4" s="459"/>
      <c r="F4" s="459"/>
      <c r="G4" s="459"/>
    </row>
    <row r="5" spans="1:14" s="44" customFormat="1" ht="10.199999999999999" x14ac:dyDescent="0.2">
      <c r="A5" s="56" t="s">
        <v>510</v>
      </c>
      <c r="B5" s="90">
        <f>SUM(B6:B7)</f>
        <v>10844736</v>
      </c>
      <c r="C5" s="90">
        <f>SUM(C6:C7)</f>
        <v>11227678</v>
      </c>
      <c r="D5" s="499"/>
      <c r="E5" s="499"/>
      <c r="F5" s="499"/>
      <c r="G5" s="499"/>
    </row>
    <row r="6" spans="1:14" s="44" customFormat="1" ht="10.199999999999999" x14ac:dyDescent="0.2">
      <c r="A6" s="126" t="s">
        <v>96</v>
      </c>
      <c r="B6" s="207">
        <v>0</v>
      </c>
      <c r="C6" s="207">
        <v>0</v>
      </c>
      <c r="D6" s="370"/>
      <c r="E6" s="370"/>
      <c r="F6" s="370"/>
      <c r="G6" s="370"/>
    </row>
    <row r="7" spans="1:14" s="44" customFormat="1" ht="10.199999999999999" x14ac:dyDescent="0.2">
      <c r="A7" s="123" t="s">
        <v>97</v>
      </c>
      <c r="B7" s="207">
        <f>1210707+4102574+1321936+242564+421132+3545823</f>
        <v>10844736</v>
      </c>
      <c r="C7" s="207">
        <v>11227678</v>
      </c>
      <c r="D7" s="370"/>
      <c r="E7" s="370"/>
      <c r="F7" s="370"/>
      <c r="G7" s="370"/>
    </row>
    <row r="8" spans="1:14" s="44" customFormat="1" ht="10.199999999999999" x14ac:dyDescent="0.2">
      <c r="A8" s="55" t="s">
        <v>187</v>
      </c>
      <c r="B8" s="207">
        <v>1635137</v>
      </c>
      <c r="C8" s="207">
        <v>859998</v>
      </c>
      <c r="D8" s="370"/>
      <c r="E8" s="370"/>
      <c r="F8" s="370"/>
      <c r="G8" s="370"/>
    </row>
    <row r="9" spans="1:14" s="44" customFormat="1" ht="10.199999999999999" x14ac:dyDescent="0.2">
      <c r="A9" s="56" t="s">
        <v>95</v>
      </c>
      <c r="B9" s="90">
        <f>B5+B8</f>
        <v>12479873</v>
      </c>
      <c r="C9" s="90">
        <f>C5+C8</f>
        <v>12087676</v>
      </c>
      <c r="D9" s="499"/>
      <c r="E9" s="499"/>
      <c r="F9" s="499"/>
      <c r="G9" s="499"/>
    </row>
    <row r="10" spans="1:14" s="44" customFormat="1" ht="10.199999999999999" x14ac:dyDescent="0.2">
      <c r="A10" s="12"/>
      <c r="B10" s="314">
        <f>B5-Aktywa!D17</f>
        <v>0</v>
      </c>
      <c r="C10" s="314">
        <f>C5-Aktywa!E17</f>
        <v>0</v>
      </c>
      <c r="D10" s="314"/>
      <c r="E10" s="314"/>
      <c r="F10" s="314"/>
      <c r="G10" s="314"/>
    </row>
    <row r="11" spans="1:14" s="44" customFormat="1" ht="10.199999999999999" x14ac:dyDescent="0.2">
      <c r="B11" s="370"/>
      <c r="C11" s="370"/>
      <c r="D11" s="370"/>
      <c r="E11" s="370"/>
      <c r="F11" s="370"/>
      <c r="G11" s="370"/>
    </row>
    <row r="12" spans="1:14" s="44" customFormat="1" ht="10.199999999999999" x14ac:dyDescent="0.2">
      <c r="A12" s="796" t="s">
        <v>193</v>
      </c>
      <c r="B12" s="796"/>
      <c r="C12" s="796"/>
      <c r="D12" s="796"/>
      <c r="E12" s="796"/>
      <c r="F12" s="796"/>
      <c r="G12" s="796"/>
      <c r="H12" s="796"/>
      <c r="I12" s="796"/>
      <c r="J12" s="796"/>
      <c r="K12" s="796"/>
      <c r="L12" s="124"/>
      <c r="M12" s="124"/>
      <c r="N12" s="124"/>
    </row>
    <row r="13" spans="1:14" s="44" customFormat="1" ht="10.199999999999999" x14ac:dyDescent="0.2">
      <c r="B13" s="793"/>
      <c r="C13" s="793"/>
      <c r="D13" s="793"/>
      <c r="E13" s="793"/>
      <c r="F13" s="793"/>
      <c r="G13" s="793"/>
      <c r="H13" s="793"/>
    </row>
    <row r="14" spans="1:14" s="44" customFormat="1" ht="10.199999999999999" x14ac:dyDescent="0.2">
      <c r="A14" s="115" t="s">
        <v>316</v>
      </c>
      <c r="B14" s="435">
        <f>B4</f>
        <v>44196</v>
      </c>
      <c r="C14" s="435">
        <f>C4</f>
        <v>43830</v>
      </c>
      <c r="D14" s="459"/>
      <c r="E14" s="459"/>
      <c r="F14" s="459"/>
      <c r="G14" s="459"/>
    </row>
    <row r="15" spans="1:14" s="137" customFormat="1" ht="10.199999999999999" x14ac:dyDescent="0.2">
      <c r="A15" s="442" t="s">
        <v>238</v>
      </c>
      <c r="B15" s="443"/>
      <c r="C15" s="443"/>
      <c r="D15" s="460"/>
      <c r="E15" s="460"/>
      <c r="F15" s="460"/>
      <c r="G15" s="460"/>
      <c r="H15" s="44"/>
    </row>
    <row r="16" spans="1:14" s="137" customFormat="1" ht="20.399999999999999" x14ac:dyDescent="0.25">
      <c r="A16" s="421" t="s">
        <v>511</v>
      </c>
      <c r="B16" s="127">
        <v>0</v>
      </c>
      <c r="C16" s="127">
        <v>0</v>
      </c>
      <c r="D16" s="411"/>
      <c r="E16" s="411"/>
      <c r="F16" s="411"/>
      <c r="G16" s="411"/>
    </row>
    <row r="17" spans="1:8" s="229" customFormat="1" ht="10.199999999999999" x14ac:dyDescent="0.25">
      <c r="A17" s="227" t="s">
        <v>106</v>
      </c>
      <c r="B17" s="228">
        <f>SUM(B18:B22)</f>
        <v>0</v>
      </c>
      <c r="C17" s="228">
        <f>SUM(C18:C22)</f>
        <v>0</v>
      </c>
      <c r="D17" s="461"/>
      <c r="E17" s="461"/>
      <c r="F17" s="461"/>
      <c r="G17" s="461"/>
    </row>
    <row r="18" spans="1:8" s="137" customFormat="1" ht="20.399999999999999" x14ac:dyDescent="0.25">
      <c r="A18" s="226" t="s">
        <v>191</v>
      </c>
      <c r="B18" s="225">
        <v>0</v>
      </c>
      <c r="C18" s="225">
        <v>0</v>
      </c>
      <c r="D18" s="321"/>
      <c r="E18" s="321"/>
      <c r="F18" s="321"/>
      <c r="G18" s="321"/>
    </row>
    <row r="19" spans="1:8" s="137" customFormat="1" ht="10.199999999999999" x14ac:dyDescent="0.25">
      <c r="A19" s="226" t="s">
        <v>192</v>
      </c>
      <c r="B19" s="225">
        <v>0</v>
      </c>
      <c r="C19" s="225">
        <v>0</v>
      </c>
      <c r="D19" s="321"/>
      <c r="E19" s="321"/>
      <c r="F19" s="321"/>
      <c r="G19" s="321"/>
    </row>
    <row r="20" spans="1:8" s="137" customFormat="1" ht="10.199999999999999" hidden="1" x14ac:dyDescent="0.25">
      <c r="A20" s="363" t="s">
        <v>266</v>
      </c>
      <c r="B20" s="225"/>
      <c r="C20" s="225"/>
      <c r="D20" s="321"/>
      <c r="E20" s="321"/>
      <c r="F20" s="321"/>
      <c r="G20" s="321"/>
    </row>
    <row r="21" spans="1:8" s="137" customFormat="1" ht="10.199999999999999" hidden="1" x14ac:dyDescent="0.25">
      <c r="A21" s="363" t="s">
        <v>266</v>
      </c>
      <c r="B21" s="225"/>
      <c r="C21" s="225"/>
      <c r="D21" s="321"/>
      <c r="E21" s="321"/>
      <c r="F21" s="321"/>
      <c r="G21" s="321"/>
    </row>
    <row r="22" spans="1:8" s="137" customFormat="1" ht="10.199999999999999" hidden="1" x14ac:dyDescent="0.25">
      <c r="A22" s="363" t="s">
        <v>266</v>
      </c>
      <c r="B22" s="225"/>
      <c r="C22" s="225"/>
      <c r="D22" s="321"/>
      <c r="E22" s="321"/>
      <c r="F22" s="321"/>
      <c r="G22" s="321"/>
    </row>
    <row r="23" spans="1:8" s="229" customFormat="1" ht="10.199999999999999" x14ac:dyDescent="0.25">
      <c r="A23" s="227" t="s">
        <v>99</v>
      </c>
      <c r="B23" s="228">
        <f>SUM(B24:B28)</f>
        <v>0</v>
      </c>
      <c r="C23" s="228">
        <f>SUM(C24:C28)</f>
        <v>0</v>
      </c>
      <c r="D23" s="461"/>
      <c r="E23" s="461"/>
      <c r="F23" s="461"/>
      <c r="G23" s="461"/>
    </row>
    <row r="24" spans="1:8" s="137" customFormat="1" ht="10.199999999999999" x14ac:dyDescent="0.25">
      <c r="A24" s="226" t="s">
        <v>188</v>
      </c>
      <c r="B24" s="225">
        <v>0</v>
      </c>
      <c r="C24" s="225">
        <v>0</v>
      </c>
      <c r="D24" s="321"/>
      <c r="E24" s="321"/>
      <c r="F24" s="321"/>
      <c r="G24" s="321"/>
    </row>
    <row r="25" spans="1:8" s="137" customFormat="1" ht="20.399999999999999" x14ac:dyDescent="0.25">
      <c r="A25" s="226" t="s">
        <v>189</v>
      </c>
      <c r="B25" s="225">
        <v>0</v>
      </c>
      <c r="C25" s="225">
        <v>0</v>
      </c>
      <c r="D25" s="321"/>
      <c r="E25" s="321"/>
      <c r="F25" s="321"/>
      <c r="G25" s="321"/>
    </row>
    <row r="26" spans="1:8" s="137" customFormat="1" ht="10.199999999999999" x14ac:dyDescent="0.25">
      <c r="A26" s="226" t="s">
        <v>190</v>
      </c>
      <c r="B26" s="225">
        <v>0</v>
      </c>
      <c r="C26" s="225">
        <v>0</v>
      </c>
      <c r="D26" s="321"/>
      <c r="E26" s="321"/>
      <c r="F26" s="321"/>
      <c r="G26" s="321"/>
    </row>
    <row r="27" spans="1:8" s="137" customFormat="1" ht="10.199999999999999" hidden="1" x14ac:dyDescent="0.25">
      <c r="A27" s="363" t="s">
        <v>266</v>
      </c>
      <c r="B27" s="364"/>
      <c r="C27" s="364"/>
      <c r="D27" s="321"/>
      <c r="E27" s="321"/>
      <c r="F27" s="321"/>
      <c r="G27" s="321"/>
    </row>
    <row r="28" spans="1:8" s="137" customFormat="1" ht="10.199999999999999" hidden="1" x14ac:dyDescent="0.25">
      <c r="A28" s="363" t="s">
        <v>266</v>
      </c>
      <c r="B28" s="364"/>
      <c r="C28" s="364"/>
      <c r="D28" s="321"/>
      <c r="E28" s="321"/>
      <c r="F28" s="321"/>
      <c r="G28" s="321"/>
    </row>
    <row r="29" spans="1:8" s="137" customFormat="1" ht="30.6" x14ac:dyDescent="0.2">
      <c r="A29" s="421" t="s">
        <v>239</v>
      </c>
      <c r="B29" s="127">
        <f>B16+B17-B23</f>
        <v>0</v>
      </c>
      <c r="C29" s="127">
        <f>C16+C17-C23</f>
        <v>0</v>
      </c>
      <c r="D29" s="411"/>
      <c r="E29" s="411"/>
      <c r="F29" s="411"/>
      <c r="G29" s="411"/>
      <c r="H29" s="44"/>
    </row>
    <row r="30" spans="1:8" s="137" customFormat="1" ht="10.199999999999999" x14ac:dyDescent="0.2">
      <c r="A30" s="440" t="s">
        <v>240</v>
      </c>
      <c r="B30" s="441"/>
      <c r="C30" s="441"/>
      <c r="D30" s="462"/>
      <c r="E30" s="462"/>
      <c r="F30" s="462"/>
      <c r="G30" s="462"/>
      <c r="H30" s="44"/>
    </row>
    <row r="31" spans="1:8" s="137" customFormat="1" ht="20.399999999999999" x14ac:dyDescent="0.2">
      <c r="A31" s="509" t="s">
        <v>511</v>
      </c>
      <c r="B31" s="510">
        <f>C51</f>
        <v>859998</v>
      </c>
      <c r="C31" s="510">
        <v>1304733</v>
      </c>
      <c r="D31" s="463"/>
      <c r="E31" s="463"/>
      <c r="F31" s="463"/>
      <c r="G31" s="463"/>
      <c r="H31" s="44"/>
    </row>
    <row r="32" spans="1:8" s="229" customFormat="1" ht="10.199999999999999" hidden="1" customHeight="1" x14ac:dyDescent="0.2">
      <c r="A32" s="511" t="s">
        <v>594</v>
      </c>
      <c r="B32" s="512">
        <f>0</f>
        <v>0</v>
      </c>
      <c r="C32" s="512">
        <v>0</v>
      </c>
      <c r="D32" s="464"/>
      <c r="E32" s="464"/>
      <c r="F32" s="464"/>
      <c r="G32" s="464"/>
      <c r="H32" s="88"/>
    </row>
    <row r="33" spans="1:8" s="137" customFormat="1" ht="10.199999999999999" hidden="1" customHeight="1" x14ac:dyDescent="0.2">
      <c r="A33" s="511" t="s">
        <v>701</v>
      </c>
      <c r="B33" s="512">
        <f>0</f>
        <v>0</v>
      </c>
      <c r="C33" s="512">
        <v>0</v>
      </c>
      <c r="D33" s="465"/>
      <c r="E33" s="465"/>
      <c r="F33" s="465"/>
      <c r="G33" s="465"/>
      <c r="H33" s="44"/>
    </row>
    <row r="34" spans="1:8" s="137" customFormat="1" ht="20.399999999999999" hidden="1" customHeight="1" x14ac:dyDescent="0.2">
      <c r="A34" s="509" t="s">
        <v>702</v>
      </c>
      <c r="B34" s="510">
        <f>B31+B33+B32</f>
        <v>859998</v>
      </c>
      <c r="C34" s="510">
        <f>C31+C33+C32</f>
        <v>1304733</v>
      </c>
      <c r="D34" s="465"/>
      <c r="E34" s="465"/>
      <c r="F34" s="465"/>
      <c r="G34" s="465"/>
      <c r="H34" s="44"/>
    </row>
    <row r="35" spans="1:8" s="137" customFormat="1" ht="10.199999999999999" x14ac:dyDescent="0.2">
      <c r="A35" s="513" t="s">
        <v>106</v>
      </c>
      <c r="B35" s="514">
        <f>SUM(B36:B39)</f>
        <v>1234727</v>
      </c>
      <c r="C35" s="514">
        <f>SUM(C36:C39)</f>
        <v>676729</v>
      </c>
      <c r="D35" s="465"/>
      <c r="E35" s="465"/>
      <c r="F35" s="465"/>
      <c r="G35" s="465"/>
      <c r="H35" s="44"/>
    </row>
    <row r="36" spans="1:8" s="137" customFormat="1" ht="20.399999999999999" x14ac:dyDescent="0.2">
      <c r="A36" s="226" t="s">
        <v>959</v>
      </c>
      <c r="B36" s="512">
        <f>82554+49071+110532+2133+63309+114715-152775</f>
        <v>269539</v>
      </c>
      <c r="C36" s="512">
        <v>3805</v>
      </c>
      <c r="D36" s="465"/>
      <c r="E36" s="465"/>
      <c r="F36" s="465"/>
      <c r="G36" s="465"/>
      <c r="H36" s="44"/>
    </row>
    <row r="37" spans="1:8" s="137" customFormat="1" ht="20.399999999999999" x14ac:dyDescent="0.2">
      <c r="A37" s="713" t="s">
        <v>191</v>
      </c>
      <c r="B37" s="512">
        <f>32212+323223+102800+14938+491027</f>
        <v>964200</v>
      </c>
      <c r="C37" s="512">
        <v>672924</v>
      </c>
      <c r="D37" s="465"/>
      <c r="E37" s="465"/>
      <c r="F37" s="465"/>
      <c r="G37" s="465"/>
      <c r="H37" s="44"/>
    </row>
    <row r="38" spans="1:8" s="137" customFormat="1" ht="10.199999999999999" hidden="1" x14ac:dyDescent="0.2">
      <c r="A38" s="515" t="s">
        <v>192</v>
      </c>
      <c r="B38" s="512">
        <v>0</v>
      </c>
      <c r="C38" s="512">
        <v>0</v>
      </c>
      <c r="D38" s="465"/>
      <c r="E38" s="465"/>
      <c r="F38" s="465"/>
      <c r="G38" s="465"/>
      <c r="H38" s="44"/>
    </row>
    <row r="39" spans="1:8" s="137" customFormat="1" ht="10.199999999999999" x14ac:dyDescent="0.2">
      <c r="A39" s="515" t="s">
        <v>704</v>
      </c>
      <c r="B39" s="512">
        <f>976+12</f>
        <v>988</v>
      </c>
      <c r="C39" s="512">
        <v>0</v>
      </c>
      <c r="D39" s="465"/>
      <c r="E39" s="465"/>
      <c r="F39" s="465"/>
      <c r="G39" s="465"/>
      <c r="H39" s="44"/>
    </row>
    <row r="40" spans="1:8" s="137" customFormat="1" ht="10.199999999999999" hidden="1" x14ac:dyDescent="0.2">
      <c r="A40" s="515" t="s">
        <v>266</v>
      </c>
      <c r="B40" s="512">
        <v>0</v>
      </c>
      <c r="C40" s="512">
        <v>0</v>
      </c>
      <c r="D40" s="465"/>
      <c r="E40" s="465"/>
      <c r="F40" s="465"/>
      <c r="G40" s="465"/>
      <c r="H40" s="44"/>
    </row>
    <row r="41" spans="1:8" s="137" customFormat="1" ht="10.199999999999999" hidden="1" x14ac:dyDescent="0.2">
      <c r="A41" s="515" t="s">
        <v>266</v>
      </c>
      <c r="B41" s="512">
        <v>0</v>
      </c>
      <c r="C41" s="512">
        <v>0</v>
      </c>
      <c r="D41" s="465"/>
      <c r="E41" s="465"/>
      <c r="F41" s="465"/>
      <c r="G41" s="465"/>
      <c r="H41" s="44"/>
    </row>
    <row r="42" spans="1:8" s="137" customFormat="1" ht="10.199999999999999" x14ac:dyDescent="0.2">
      <c r="A42" s="513" t="s">
        <v>99</v>
      </c>
      <c r="B42" s="514">
        <f>SUM(B43:B50)</f>
        <v>459588</v>
      </c>
      <c r="C42" s="514">
        <f>SUM(C43:C50)</f>
        <v>1121464</v>
      </c>
      <c r="D42" s="465"/>
      <c r="E42" s="465"/>
      <c r="F42" s="465"/>
      <c r="G42" s="465"/>
      <c r="H42" s="44"/>
    </row>
    <row r="43" spans="1:8" s="137" customFormat="1" ht="10.199999999999999" x14ac:dyDescent="0.2">
      <c r="A43" s="515" t="s">
        <v>188</v>
      </c>
      <c r="B43" s="512">
        <f>119933+45118+54119+166880</f>
        <v>386050</v>
      </c>
      <c r="C43" s="512">
        <v>438356</v>
      </c>
      <c r="D43" s="465"/>
      <c r="E43" s="465"/>
      <c r="F43" s="465"/>
      <c r="G43" s="465"/>
      <c r="H43" s="44"/>
    </row>
    <row r="44" spans="1:8" s="137" customFormat="1" ht="20.399999999999999" x14ac:dyDescent="0.2">
      <c r="A44" s="515" t="s">
        <v>189</v>
      </c>
      <c r="B44" s="512">
        <f>3830+10151+11805+10000</f>
        <v>35786</v>
      </c>
      <c r="C44" s="512">
        <v>164584</v>
      </c>
      <c r="D44" s="465"/>
      <c r="E44" s="465"/>
      <c r="F44" s="465"/>
      <c r="G44" s="465"/>
      <c r="H44" s="44"/>
    </row>
    <row r="45" spans="1:8" s="137" customFormat="1" ht="10.199999999999999" hidden="1" x14ac:dyDescent="0.2">
      <c r="A45" s="515" t="s">
        <v>190</v>
      </c>
      <c r="B45" s="512">
        <v>0</v>
      </c>
      <c r="C45" s="512">
        <v>0</v>
      </c>
      <c r="D45" s="465"/>
      <c r="E45" s="465"/>
      <c r="F45" s="465"/>
      <c r="G45" s="465"/>
      <c r="H45" s="44"/>
    </row>
    <row r="46" spans="1:8" s="137" customFormat="1" ht="10.199999999999999" hidden="1" x14ac:dyDescent="0.2">
      <c r="A46" s="515" t="s">
        <v>705</v>
      </c>
      <c r="B46" s="516">
        <v>0</v>
      </c>
      <c r="C46" s="512">
        <v>0</v>
      </c>
      <c r="D46" s="465"/>
      <c r="E46" s="465"/>
      <c r="F46" s="465"/>
      <c r="G46" s="465"/>
      <c r="H46" s="44"/>
    </row>
    <row r="47" spans="1:8" s="137" customFormat="1" ht="10.199999999999999" x14ac:dyDescent="0.2">
      <c r="A47" s="515" t="s">
        <v>704</v>
      </c>
      <c r="B47" s="516">
        <f>0</f>
        <v>0</v>
      </c>
      <c r="C47" s="516">
        <v>2999</v>
      </c>
      <c r="D47" s="465"/>
      <c r="E47" s="465"/>
      <c r="F47" s="465"/>
      <c r="G47" s="465"/>
      <c r="H47" s="635"/>
    </row>
    <row r="48" spans="1:8" s="137" customFormat="1" ht="10.199999999999999" x14ac:dyDescent="0.2">
      <c r="A48" s="515" t="s">
        <v>706</v>
      </c>
      <c r="B48" s="516">
        <f>11347+11331</f>
        <v>22678</v>
      </c>
      <c r="C48" s="516">
        <v>484847</v>
      </c>
      <c r="D48" s="465"/>
      <c r="E48" s="465"/>
      <c r="F48" s="465"/>
      <c r="G48" s="465"/>
      <c r="H48" s="44"/>
    </row>
    <row r="49" spans="1:8" s="137" customFormat="1" ht="10.199999999999999" x14ac:dyDescent="0.2">
      <c r="A49" s="515" t="s">
        <v>509</v>
      </c>
      <c r="B49" s="516">
        <f>548</f>
        <v>548</v>
      </c>
      <c r="C49" s="516">
        <v>0</v>
      </c>
      <c r="D49" s="465"/>
      <c r="E49" s="465"/>
      <c r="F49" s="465"/>
      <c r="G49" s="465"/>
      <c r="H49" s="669"/>
    </row>
    <row r="50" spans="1:8" s="137" customFormat="1" ht="10.199999999999999" x14ac:dyDescent="0.2">
      <c r="A50" s="515" t="s">
        <v>703</v>
      </c>
      <c r="B50" s="516">
        <f>7964+6388+174</f>
        <v>14526</v>
      </c>
      <c r="C50" s="516">
        <v>30678</v>
      </c>
      <c r="D50" s="465"/>
      <c r="E50" s="465"/>
      <c r="F50" s="465"/>
      <c r="G50" s="465"/>
      <c r="H50" s="44"/>
    </row>
    <row r="51" spans="1:8" s="137" customFormat="1" ht="30.6" x14ac:dyDescent="0.2">
      <c r="A51" s="517" t="s">
        <v>241</v>
      </c>
      <c r="B51" s="518">
        <f>B34+B35-B42</f>
        <v>1635137</v>
      </c>
      <c r="C51" s="518">
        <f>C34+C35-C42</f>
        <v>859998</v>
      </c>
      <c r="D51" s="465"/>
      <c r="E51" s="465"/>
      <c r="F51" s="465"/>
      <c r="G51" s="465"/>
      <c r="H51" s="44"/>
    </row>
    <row r="52" spans="1:8" s="229" customFormat="1" ht="10.199999999999999" x14ac:dyDescent="0.2">
      <c r="A52" s="519"/>
      <c r="B52" s="520"/>
      <c r="C52" s="520"/>
      <c r="D52" s="464"/>
      <c r="E52" s="464"/>
      <c r="F52" s="464"/>
      <c r="G52" s="464"/>
      <c r="H52" s="88"/>
    </row>
    <row r="53" spans="1:8" s="137" customFormat="1" ht="20.399999999999999" x14ac:dyDescent="0.2">
      <c r="A53" s="521" t="s">
        <v>242</v>
      </c>
      <c r="B53" s="361">
        <f>B51+B29</f>
        <v>1635137</v>
      </c>
      <c r="C53" s="361">
        <f>C51+C29</f>
        <v>859998</v>
      </c>
      <c r="D53" s="465"/>
      <c r="E53" s="465"/>
      <c r="F53" s="465"/>
      <c r="G53" s="465"/>
      <c r="H53" s="44"/>
    </row>
    <row r="54" spans="1:8" s="137" customFormat="1" ht="10.199999999999999" x14ac:dyDescent="0.2">
      <c r="A54" s="522"/>
      <c r="B54" s="411"/>
      <c r="C54" s="411"/>
      <c r="D54" s="465"/>
      <c r="E54" s="465"/>
      <c r="F54" s="465"/>
      <c r="G54" s="465"/>
      <c r="H54" s="44"/>
    </row>
    <row r="55" spans="1:8" s="137" customFormat="1" ht="10.199999999999999" customHeight="1" x14ac:dyDescent="0.2">
      <c r="A55" s="799"/>
      <c r="B55" s="799"/>
      <c r="C55" s="799"/>
      <c r="D55" s="465"/>
      <c r="E55" s="465"/>
      <c r="F55" s="465"/>
      <c r="G55" s="465"/>
      <c r="H55" s="44"/>
    </row>
    <row r="56" spans="1:8" s="137" customFormat="1" ht="10.199999999999999" hidden="1" customHeight="1" x14ac:dyDescent="0.2">
      <c r="A56" s="523"/>
      <c r="B56" s="524">
        <f>B8-B53</f>
        <v>0</v>
      </c>
      <c r="C56" s="524">
        <f>C8-C53</f>
        <v>0</v>
      </c>
      <c r="D56" s="465"/>
      <c r="E56" s="465"/>
      <c r="F56" s="465"/>
      <c r="G56" s="465"/>
      <c r="H56" s="44"/>
    </row>
    <row r="57" spans="1:8" s="137" customFormat="1" ht="10.199999999999999" hidden="1" customHeight="1" x14ac:dyDescent="0.2">
      <c r="A57" s="525" t="s">
        <v>266</v>
      </c>
      <c r="B57" s="377"/>
      <c r="C57" s="377"/>
      <c r="D57" s="465"/>
      <c r="E57" s="465"/>
      <c r="F57" s="465"/>
      <c r="G57" s="465"/>
      <c r="H57" s="44"/>
    </row>
    <row r="58" spans="1:8" s="137" customFormat="1" ht="10.199999999999999" x14ac:dyDescent="0.2">
      <c r="A58" s="522"/>
      <c r="B58" s="411"/>
      <c r="C58" s="411"/>
      <c r="D58" s="411"/>
      <c r="E58" s="411"/>
      <c r="F58" s="411"/>
      <c r="G58" s="411"/>
      <c r="H58" s="44"/>
    </row>
    <row r="59" spans="1:8" s="44" customFormat="1" ht="10.199999999999999" x14ac:dyDescent="0.2">
      <c r="A59" s="125"/>
      <c r="B59" s="314"/>
      <c r="C59" s="314"/>
      <c r="D59" s="314"/>
      <c r="E59" s="314"/>
      <c r="F59" s="314"/>
      <c r="G59" s="314"/>
    </row>
    <row r="60" spans="1:8" s="44" customFormat="1" ht="10.199999999999999" x14ac:dyDescent="0.2">
      <c r="A60" s="125"/>
      <c r="B60" s="370"/>
      <c r="C60" s="370"/>
      <c r="D60" s="370"/>
      <c r="E60" s="370"/>
      <c r="F60" s="370"/>
      <c r="G60" s="370"/>
    </row>
    <row r="61" spans="1:8" s="44" customFormat="1" ht="20.399999999999999" x14ac:dyDescent="0.2">
      <c r="A61" s="114" t="s">
        <v>913</v>
      </c>
    </row>
    <row r="62" spans="1:8" s="44" customFormat="1" ht="10.199999999999999" customHeight="1" x14ac:dyDescent="0.2">
      <c r="A62" s="800" t="s">
        <v>316</v>
      </c>
      <c r="B62" s="802" t="s">
        <v>27</v>
      </c>
      <c r="C62" s="797" t="s">
        <v>529</v>
      </c>
      <c r="D62" s="797" t="s">
        <v>642</v>
      </c>
      <c r="E62" s="797" t="s">
        <v>643</v>
      </c>
      <c r="F62" s="797" t="s">
        <v>237</v>
      </c>
      <c r="G62" s="797" t="s">
        <v>644</v>
      </c>
      <c r="H62" s="797" t="s">
        <v>650</v>
      </c>
    </row>
    <row r="63" spans="1:8" s="44" customFormat="1" ht="10.199999999999999" x14ac:dyDescent="0.2">
      <c r="A63" s="801"/>
      <c r="B63" s="803"/>
      <c r="C63" s="798"/>
      <c r="D63" s="798"/>
      <c r="E63" s="798"/>
      <c r="F63" s="798"/>
      <c r="G63" s="798"/>
      <c r="H63" s="798"/>
    </row>
    <row r="64" spans="1:8" s="44" customFormat="1" ht="10.199999999999999" x14ac:dyDescent="0.2">
      <c r="A64" s="466" t="s">
        <v>651</v>
      </c>
      <c r="B64" s="467"/>
      <c r="C64" s="467"/>
      <c r="D64" s="467"/>
      <c r="E64" s="467"/>
      <c r="F64" s="467"/>
      <c r="G64" s="467"/>
      <c r="H64" s="467"/>
    </row>
    <row r="65" spans="1:14" s="44" customFormat="1" ht="10.199999999999999" x14ac:dyDescent="0.2">
      <c r="A65" s="36" t="s">
        <v>652</v>
      </c>
      <c r="B65" s="129">
        <f>SUM(H65:H65)</f>
        <v>0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30">
        <v>0</v>
      </c>
    </row>
    <row r="66" spans="1:14" s="44" customFormat="1" ht="10.199999999999999" x14ac:dyDescent="0.2">
      <c r="A66" s="36" t="s">
        <v>653</v>
      </c>
      <c r="B66" s="129"/>
      <c r="C66" s="129"/>
      <c r="D66" s="129"/>
      <c r="E66" s="129"/>
      <c r="F66" s="129"/>
      <c r="G66" s="129"/>
      <c r="H66" s="130"/>
    </row>
    <row r="67" spans="1:14" s="44" customFormat="1" ht="10.199999999999999" x14ac:dyDescent="0.2">
      <c r="A67" s="61" t="s">
        <v>654</v>
      </c>
      <c r="B67" s="129">
        <f>B65-B66</f>
        <v>0</v>
      </c>
      <c r="C67" s="129">
        <v>0</v>
      </c>
      <c r="D67" s="129">
        <v>0</v>
      </c>
      <c r="E67" s="129">
        <v>0</v>
      </c>
      <c r="F67" s="129">
        <v>0</v>
      </c>
      <c r="G67" s="129">
        <v>0</v>
      </c>
      <c r="H67" s="129">
        <f>H65-H66</f>
        <v>0</v>
      </c>
    </row>
    <row r="68" spans="1:14" s="466" customFormat="1" ht="10.199999999999999" x14ac:dyDescent="0.2">
      <c r="A68" s="468" t="s">
        <v>240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</row>
    <row r="69" spans="1:14" s="44" customFormat="1" ht="10.199999999999999" x14ac:dyDescent="0.2">
      <c r="A69" s="36" t="s">
        <v>652</v>
      </c>
      <c r="B69" s="129">
        <f>SUM(C69:H69)</f>
        <v>12479873</v>
      </c>
      <c r="C69" s="684">
        <v>8313111</v>
      </c>
      <c r="D69" s="684">
        <v>2336238</v>
      </c>
      <c r="E69" s="684">
        <v>439544</v>
      </c>
      <c r="F69" s="684">
        <v>138820</v>
      </c>
      <c r="G69" s="684">
        <v>549245</v>
      </c>
      <c r="H69" s="684">
        <v>702915</v>
      </c>
    </row>
    <row r="70" spans="1:14" s="44" customFormat="1" ht="10.199999999999999" x14ac:dyDescent="0.2">
      <c r="A70" s="36" t="s">
        <v>653</v>
      </c>
      <c r="B70" s="129">
        <f>SUM(C70:H70)</f>
        <v>1635137</v>
      </c>
      <c r="C70" s="683">
        <f>168737+192521</f>
        <v>361258</v>
      </c>
      <c r="D70" s="683">
        <f>50596</f>
        <v>50596</v>
      </c>
      <c r="E70" s="683">
        <f>9519</f>
        <v>9519</v>
      </c>
      <c r="F70" s="683">
        <f>35348+39900</f>
        <v>75248</v>
      </c>
      <c r="G70" s="683">
        <f>31111+412716-8226</f>
        <v>435601</v>
      </c>
      <c r="H70" s="683">
        <v>702915</v>
      </c>
    </row>
    <row r="71" spans="1:14" s="44" customFormat="1" ht="10.199999999999999" x14ac:dyDescent="0.2">
      <c r="A71" s="61" t="s">
        <v>654</v>
      </c>
      <c r="B71" s="129">
        <f>B69-B70</f>
        <v>10844736</v>
      </c>
      <c r="C71" s="526">
        <f>C69-C70</f>
        <v>7951853</v>
      </c>
      <c r="D71" s="526">
        <f t="shared" ref="D71:H71" si="0">D69-D70</f>
        <v>2285642</v>
      </c>
      <c r="E71" s="526">
        <f t="shared" si="0"/>
        <v>430025</v>
      </c>
      <c r="F71" s="526">
        <f t="shared" si="0"/>
        <v>63572</v>
      </c>
      <c r="G71" s="526">
        <f t="shared" si="0"/>
        <v>113644</v>
      </c>
      <c r="H71" s="526">
        <f t="shared" si="0"/>
        <v>0</v>
      </c>
    </row>
    <row r="72" spans="1:14" s="44" customFormat="1" ht="10.199999999999999" x14ac:dyDescent="0.2">
      <c r="A72" s="466" t="s">
        <v>376</v>
      </c>
      <c r="B72" s="467"/>
      <c r="C72" s="467"/>
      <c r="D72" s="467"/>
      <c r="E72" s="467"/>
      <c r="F72" s="467"/>
      <c r="G72" s="467"/>
      <c r="H72" s="467"/>
    </row>
    <row r="73" spans="1:14" s="44" customFormat="1" ht="10.199999999999999" x14ac:dyDescent="0.2">
      <c r="A73" s="36" t="s">
        <v>652</v>
      </c>
      <c r="B73" s="129">
        <f t="shared" ref="B73:H75" si="1">B65+B69</f>
        <v>12479873</v>
      </c>
      <c r="C73" s="526">
        <f t="shared" si="1"/>
        <v>8313111</v>
      </c>
      <c r="D73" s="526">
        <f t="shared" si="1"/>
        <v>2336238</v>
      </c>
      <c r="E73" s="526">
        <f t="shared" si="1"/>
        <v>439544</v>
      </c>
      <c r="F73" s="526">
        <f t="shared" si="1"/>
        <v>138820</v>
      </c>
      <c r="G73" s="526">
        <f t="shared" si="1"/>
        <v>549245</v>
      </c>
      <c r="H73" s="526">
        <f t="shared" si="1"/>
        <v>702915</v>
      </c>
    </row>
    <row r="74" spans="1:14" s="44" customFormat="1" ht="10.199999999999999" x14ac:dyDescent="0.2">
      <c r="A74" s="36" t="s">
        <v>653</v>
      </c>
      <c r="B74" s="129">
        <f t="shared" si="1"/>
        <v>1635137</v>
      </c>
      <c r="C74" s="526">
        <f t="shared" si="1"/>
        <v>361258</v>
      </c>
      <c r="D74" s="526">
        <f t="shared" si="1"/>
        <v>50596</v>
      </c>
      <c r="E74" s="526">
        <f t="shared" si="1"/>
        <v>9519</v>
      </c>
      <c r="F74" s="526">
        <f t="shared" si="1"/>
        <v>75248</v>
      </c>
      <c r="G74" s="526">
        <f>G66+G70</f>
        <v>435601</v>
      </c>
      <c r="H74" s="526">
        <f t="shared" si="1"/>
        <v>702915</v>
      </c>
    </row>
    <row r="75" spans="1:14" s="44" customFormat="1" ht="10.199999999999999" x14ac:dyDescent="0.2">
      <c r="A75" s="61" t="s">
        <v>654</v>
      </c>
      <c r="B75" s="129">
        <f t="shared" si="1"/>
        <v>10844736</v>
      </c>
      <c r="C75" s="526">
        <f t="shared" si="1"/>
        <v>7951853</v>
      </c>
      <c r="D75" s="526">
        <f t="shared" si="1"/>
        <v>2285642</v>
      </c>
      <c r="E75" s="526">
        <f t="shared" si="1"/>
        <v>430025</v>
      </c>
      <c r="F75" s="526">
        <f t="shared" si="1"/>
        <v>63572</v>
      </c>
      <c r="G75" s="526">
        <f t="shared" si="1"/>
        <v>113644</v>
      </c>
      <c r="H75" s="526">
        <f t="shared" si="1"/>
        <v>0</v>
      </c>
    </row>
    <row r="76" spans="1:14" s="44" customFormat="1" ht="10.199999999999999" x14ac:dyDescent="0.2">
      <c r="B76" s="314">
        <f>B75-B5</f>
        <v>0</v>
      </c>
      <c r="C76" s="314"/>
      <c r="D76" s="314"/>
      <c r="E76" s="314"/>
      <c r="F76" s="314"/>
      <c r="G76" s="314"/>
    </row>
    <row r="77" spans="1:14" s="44" customFormat="1" ht="10.199999999999999" x14ac:dyDescent="0.2">
      <c r="B77" s="370"/>
      <c r="C77" s="370"/>
      <c r="D77" s="370"/>
      <c r="E77" s="370"/>
      <c r="F77" s="370"/>
      <c r="G77" s="370"/>
    </row>
    <row r="78" spans="1:14" s="44" customFormat="1" ht="20.399999999999999" x14ac:dyDescent="0.2">
      <c r="A78" s="114" t="s">
        <v>780</v>
      </c>
    </row>
    <row r="79" spans="1:14" s="44" customFormat="1" ht="10.199999999999999" x14ac:dyDescent="0.2">
      <c r="A79" s="804" t="s">
        <v>316</v>
      </c>
      <c r="B79" s="805" t="s">
        <v>27</v>
      </c>
      <c r="C79" s="797" t="s">
        <v>529</v>
      </c>
      <c r="D79" s="797" t="s">
        <v>642</v>
      </c>
      <c r="E79" s="797" t="s">
        <v>643</v>
      </c>
      <c r="F79" s="797" t="s">
        <v>237</v>
      </c>
      <c r="G79" s="797" t="s">
        <v>644</v>
      </c>
      <c r="H79" s="797" t="s">
        <v>650</v>
      </c>
    </row>
    <row r="80" spans="1:14" s="44" customFormat="1" ht="10.199999999999999" x14ac:dyDescent="0.2">
      <c r="A80" s="804"/>
      <c r="B80" s="805"/>
      <c r="C80" s="798"/>
      <c r="D80" s="798"/>
      <c r="E80" s="798"/>
      <c r="F80" s="798"/>
      <c r="G80" s="798"/>
      <c r="H80" s="798"/>
    </row>
    <row r="81" spans="1:14" s="44" customFormat="1" ht="10.199999999999999" x14ac:dyDescent="0.2">
      <c r="A81" s="466" t="s">
        <v>651</v>
      </c>
      <c r="B81" s="467"/>
      <c r="C81" s="467"/>
      <c r="D81" s="467"/>
      <c r="E81" s="467"/>
      <c r="F81" s="467"/>
      <c r="G81" s="467"/>
      <c r="H81" s="467"/>
    </row>
    <row r="82" spans="1:14" s="44" customFormat="1" ht="10.199999999999999" x14ac:dyDescent="0.2">
      <c r="A82" s="36" t="s">
        <v>652</v>
      </c>
      <c r="B82" s="129">
        <f>SUM(H82:H82)</f>
        <v>0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30">
        <v>0</v>
      </c>
    </row>
    <row r="83" spans="1:14" s="44" customFormat="1" ht="10.199999999999999" x14ac:dyDescent="0.2">
      <c r="A83" s="36" t="s">
        <v>653</v>
      </c>
      <c r="B83" s="129"/>
      <c r="C83" s="129"/>
      <c r="D83" s="129"/>
      <c r="E83" s="129"/>
      <c r="F83" s="129"/>
      <c r="G83" s="129"/>
      <c r="H83" s="130"/>
    </row>
    <row r="84" spans="1:14" s="44" customFormat="1" ht="10.199999999999999" x14ac:dyDescent="0.2">
      <c r="A84" s="61" t="s">
        <v>654</v>
      </c>
      <c r="B84" s="129">
        <f>B82-B83</f>
        <v>0</v>
      </c>
      <c r="C84" s="129">
        <v>0</v>
      </c>
      <c r="D84" s="129">
        <v>0</v>
      </c>
      <c r="E84" s="129">
        <v>0</v>
      </c>
      <c r="F84" s="129">
        <v>0</v>
      </c>
      <c r="G84" s="129">
        <v>0</v>
      </c>
      <c r="H84" s="129">
        <f>H82-H83</f>
        <v>0</v>
      </c>
    </row>
    <row r="85" spans="1:14" s="466" customFormat="1" ht="10.199999999999999" x14ac:dyDescent="0.2">
      <c r="A85" s="468" t="s">
        <v>240</v>
      </c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69"/>
      <c r="M85" s="469"/>
      <c r="N85" s="469"/>
    </row>
    <row r="86" spans="1:14" s="44" customFormat="1" ht="10.199999999999999" x14ac:dyDescent="0.2">
      <c r="A86" s="36" t="s">
        <v>652</v>
      </c>
      <c r="B86" s="129">
        <f>SUM(C86:H86)</f>
        <v>12087676</v>
      </c>
      <c r="C86" s="526">
        <f>6008596-194634</f>
        <v>5813962</v>
      </c>
      <c r="D86" s="526">
        <v>3512431</v>
      </c>
      <c r="E86" s="526">
        <v>1517522</v>
      </c>
      <c r="F86" s="526">
        <v>312598</v>
      </c>
      <c r="G86" s="526">
        <v>148008</v>
      </c>
      <c r="H86" s="526">
        <v>783155</v>
      </c>
    </row>
    <row r="87" spans="1:14" s="44" customFormat="1" ht="10.199999999999999" x14ac:dyDescent="0.2">
      <c r="A87" s="36" t="s">
        <v>653</v>
      </c>
      <c r="B87" s="129">
        <f>SUM(C87:H87)</f>
        <v>859998</v>
      </c>
      <c r="C87" s="526">
        <v>34625</v>
      </c>
      <c r="D87" s="526">
        <v>0</v>
      </c>
      <c r="E87" s="526">
        <v>0</v>
      </c>
      <c r="F87" s="526">
        <v>0</v>
      </c>
      <c r="G87" s="526">
        <v>42218</v>
      </c>
      <c r="H87" s="526">
        <v>783155</v>
      </c>
    </row>
    <row r="88" spans="1:14" s="44" customFormat="1" ht="10.199999999999999" x14ac:dyDescent="0.2">
      <c r="A88" s="61" t="s">
        <v>654</v>
      </c>
      <c r="B88" s="129">
        <f>SUM(C88:H88)</f>
        <v>11227678</v>
      </c>
      <c r="C88" s="526">
        <f>C86-C87</f>
        <v>5779337</v>
      </c>
      <c r="D88" s="526">
        <f t="shared" ref="D88:H88" si="2">D86-D87</f>
        <v>3512431</v>
      </c>
      <c r="E88" s="526">
        <f t="shared" si="2"/>
        <v>1517522</v>
      </c>
      <c r="F88" s="526">
        <f t="shared" si="2"/>
        <v>312598</v>
      </c>
      <c r="G88" s="526">
        <f t="shared" si="2"/>
        <v>105790</v>
      </c>
      <c r="H88" s="526">
        <f t="shared" si="2"/>
        <v>0</v>
      </c>
    </row>
    <row r="89" spans="1:14" s="44" customFormat="1" ht="10.199999999999999" x14ac:dyDescent="0.2">
      <c r="A89" s="466" t="s">
        <v>376</v>
      </c>
      <c r="B89" s="467"/>
      <c r="C89" s="467"/>
      <c r="D89" s="467"/>
      <c r="E89" s="467"/>
      <c r="F89" s="467"/>
      <c r="G89" s="467"/>
      <c r="H89" s="467"/>
    </row>
    <row r="90" spans="1:14" s="44" customFormat="1" ht="10.199999999999999" x14ac:dyDescent="0.2">
      <c r="A90" s="36" t="s">
        <v>652</v>
      </c>
      <c r="B90" s="129">
        <f t="shared" ref="B90:H92" si="3">B82+B86</f>
        <v>12087676</v>
      </c>
      <c r="C90" s="526">
        <f t="shared" si="3"/>
        <v>5813962</v>
      </c>
      <c r="D90" s="526">
        <f t="shared" si="3"/>
        <v>3512431</v>
      </c>
      <c r="E90" s="526">
        <f t="shared" si="3"/>
        <v>1517522</v>
      </c>
      <c r="F90" s="526">
        <f t="shared" si="3"/>
        <v>312598</v>
      </c>
      <c r="G90" s="526">
        <f t="shared" si="3"/>
        <v>148008</v>
      </c>
      <c r="H90" s="526">
        <f t="shared" si="3"/>
        <v>783155</v>
      </c>
    </row>
    <row r="91" spans="1:14" s="44" customFormat="1" ht="10.199999999999999" x14ac:dyDescent="0.2">
      <c r="A91" s="36" t="s">
        <v>653</v>
      </c>
      <c r="B91" s="129">
        <f t="shared" si="3"/>
        <v>859998</v>
      </c>
      <c r="C91" s="526">
        <f t="shared" si="3"/>
        <v>34625</v>
      </c>
      <c r="D91" s="526">
        <f t="shared" si="3"/>
        <v>0</v>
      </c>
      <c r="E91" s="526">
        <f t="shared" si="3"/>
        <v>0</v>
      </c>
      <c r="F91" s="526">
        <f t="shared" si="3"/>
        <v>0</v>
      </c>
      <c r="G91" s="526">
        <f>G83+G87</f>
        <v>42218</v>
      </c>
      <c r="H91" s="526">
        <f t="shared" ref="H91" si="4">H83+H87</f>
        <v>783155</v>
      </c>
    </row>
    <row r="92" spans="1:14" s="44" customFormat="1" ht="10.199999999999999" x14ac:dyDescent="0.2">
      <c r="A92" s="61" t="s">
        <v>654</v>
      </c>
      <c r="B92" s="129">
        <f t="shared" si="3"/>
        <v>11227678</v>
      </c>
      <c r="C92" s="526">
        <f t="shared" si="3"/>
        <v>5779337</v>
      </c>
      <c r="D92" s="526">
        <f t="shared" si="3"/>
        <v>3512431</v>
      </c>
      <c r="E92" s="526">
        <f t="shared" si="3"/>
        <v>1517522</v>
      </c>
      <c r="F92" s="526">
        <f t="shared" si="3"/>
        <v>312598</v>
      </c>
      <c r="G92" s="526">
        <f t="shared" si="3"/>
        <v>105790</v>
      </c>
      <c r="H92" s="526">
        <f t="shared" si="3"/>
        <v>0</v>
      </c>
    </row>
    <row r="93" spans="1:14" s="44" customFormat="1" ht="10.199999999999999" x14ac:dyDescent="0.2">
      <c r="B93" s="314">
        <f>B92-C5</f>
        <v>0</v>
      </c>
      <c r="C93" s="670"/>
      <c r="D93" s="670"/>
      <c r="E93" s="670"/>
      <c r="F93" s="670"/>
      <c r="G93" s="670"/>
      <c r="H93" s="670"/>
      <c r="I93" s="670"/>
    </row>
    <row r="94" spans="1:14" s="44" customFormat="1" ht="10.199999999999999" x14ac:dyDescent="0.2">
      <c r="A94" s="125"/>
      <c r="B94" s="670"/>
      <c r="C94" s="670"/>
      <c r="D94" s="670"/>
      <c r="E94" s="670"/>
      <c r="F94" s="670"/>
      <c r="G94" s="670"/>
      <c r="H94" s="670"/>
      <c r="I94" s="670"/>
    </row>
    <row r="95" spans="1:14" s="44" customFormat="1" ht="10.35" customHeight="1" x14ac:dyDescent="0.2">
      <c r="A95" s="125"/>
    </row>
    <row r="96" spans="1:14" s="44" customFormat="1" ht="10.199999999999999" x14ac:dyDescent="0.2">
      <c r="A96" s="52" t="s">
        <v>512</v>
      </c>
      <c r="B96" s="370"/>
    </row>
    <row r="97" spans="1:10" s="44" customFormat="1" ht="10.199999999999999" x14ac:dyDescent="0.2"/>
    <row r="98" spans="1:10" s="44" customFormat="1" ht="10.199999999999999" x14ac:dyDescent="0.2">
      <c r="A98" s="101" t="s">
        <v>316</v>
      </c>
      <c r="B98" s="435">
        <f>B4</f>
        <v>44196</v>
      </c>
      <c r="C98" s="435">
        <f>C4</f>
        <v>43830</v>
      </c>
      <c r="D98" s="459"/>
      <c r="E98" s="459"/>
      <c r="F98" s="459"/>
      <c r="G98" s="459"/>
    </row>
    <row r="99" spans="1:10" s="137" customFormat="1" ht="20.399999999999999" x14ac:dyDescent="0.2">
      <c r="A99" s="104" t="s">
        <v>514</v>
      </c>
      <c r="B99" s="132">
        <f>23979+348023+146172+48525+84589</f>
        <v>651288</v>
      </c>
      <c r="C99" s="132">
        <v>356824</v>
      </c>
      <c r="D99" s="366"/>
      <c r="E99" s="366"/>
      <c r="F99" s="366"/>
      <c r="G99" s="366"/>
      <c r="H99" s="44"/>
    </row>
    <row r="100" spans="1:10" s="137" customFormat="1" ht="10.199999999999999" x14ac:dyDescent="0.2">
      <c r="A100" s="104" t="s">
        <v>369</v>
      </c>
      <c r="B100" s="470">
        <f>23979+348023+139660+13455+84589</f>
        <v>609706</v>
      </c>
      <c r="C100" s="470">
        <v>344844</v>
      </c>
      <c r="D100" s="471"/>
      <c r="E100" s="471"/>
      <c r="F100" s="471"/>
      <c r="G100" s="471"/>
      <c r="H100" s="44"/>
    </row>
    <row r="101" spans="1:10" s="137" customFormat="1" ht="20.399999999999999" x14ac:dyDescent="0.2">
      <c r="A101" s="421" t="s">
        <v>515</v>
      </c>
      <c r="B101" s="132">
        <f>B99-B100</f>
        <v>41582</v>
      </c>
      <c r="C101" s="132">
        <f>C99-C100</f>
        <v>11980</v>
      </c>
      <c r="D101" s="366"/>
      <c r="E101" s="366"/>
      <c r="F101" s="366"/>
      <c r="G101" s="366"/>
      <c r="H101" s="44"/>
    </row>
    <row r="102" spans="1:10" x14ac:dyDescent="0.25">
      <c r="H102" s="44"/>
      <c r="I102" s="44"/>
    </row>
    <row r="103" spans="1:10" x14ac:dyDescent="0.25">
      <c r="A103" s="399" t="s">
        <v>1070</v>
      </c>
      <c r="B103" s="399"/>
      <c r="C103" s="399"/>
      <c r="D103" s="399"/>
      <c r="E103" s="399"/>
      <c r="F103" s="399"/>
      <c r="G103" s="399"/>
      <c r="H103" s="399"/>
      <c r="I103" s="399"/>
      <c r="J103" s="399"/>
    </row>
    <row r="104" spans="1:10" x14ac:dyDescent="0.25">
      <c r="H104" s="44"/>
      <c r="I104" s="44"/>
    </row>
    <row r="105" spans="1:10" x14ac:dyDescent="0.25">
      <c r="A105" s="115" t="s">
        <v>316</v>
      </c>
      <c r="B105" s="435">
        <f>B4</f>
        <v>44196</v>
      </c>
      <c r="C105" s="435">
        <f>C4</f>
        <v>43830</v>
      </c>
      <c r="D105" s="459"/>
      <c r="E105" s="459"/>
      <c r="F105" s="459"/>
      <c r="G105" s="459"/>
      <c r="H105" s="44"/>
    </row>
    <row r="106" spans="1:10" x14ac:dyDescent="0.25">
      <c r="A106" s="56" t="s">
        <v>194</v>
      </c>
      <c r="B106" s="90">
        <f>SUM(B107:B115)</f>
        <v>427036</v>
      </c>
      <c r="C106" s="90">
        <f>SUM(C107:C115)</f>
        <v>984816</v>
      </c>
      <c r="D106" s="499"/>
      <c r="E106" s="499"/>
      <c r="F106" s="499"/>
      <c r="G106" s="499"/>
      <c r="H106" s="44"/>
    </row>
    <row r="107" spans="1:10" ht="20.399999999999999" x14ac:dyDescent="0.25">
      <c r="A107" s="230" t="s">
        <v>176</v>
      </c>
      <c r="B107" s="207">
        <f>203112+6499+208794</f>
        <v>418405</v>
      </c>
      <c r="C107" s="207">
        <f>852274-4110</f>
        <v>848164</v>
      </c>
      <c r="D107" s="370"/>
      <c r="E107" s="370"/>
      <c r="F107" s="370"/>
      <c r="G107" s="370"/>
      <c r="H107" s="44"/>
    </row>
    <row r="108" spans="1:10" hidden="1" x14ac:dyDescent="0.25">
      <c r="A108" s="230" t="s">
        <v>195</v>
      </c>
      <c r="B108" s="207">
        <v>0</v>
      </c>
      <c r="C108" s="207">
        <v>0</v>
      </c>
      <c r="D108" s="370"/>
      <c r="E108" s="370"/>
      <c r="F108" s="370"/>
      <c r="G108" s="370"/>
      <c r="H108" s="44"/>
    </row>
    <row r="109" spans="1:10" x14ac:dyDescent="0.25">
      <c r="A109" s="230" t="s">
        <v>196</v>
      </c>
      <c r="B109" s="207"/>
      <c r="C109" s="207">
        <v>5758</v>
      </c>
      <c r="D109" s="370"/>
      <c r="E109" s="370"/>
      <c r="F109" s="370"/>
      <c r="G109" s="370"/>
      <c r="H109" s="44"/>
    </row>
    <row r="110" spans="1:10" hidden="1" x14ac:dyDescent="0.25">
      <c r="A110" s="230" t="s">
        <v>197</v>
      </c>
      <c r="B110" s="207">
        <v>0</v>
      </c>
      <c r="C110" s="207">
        <v>0</v>
      </c>
      <c r="D110" s="370"/>
      <c r="E110" s="370"/>
      <c r="F110" s="370"/>
      <c r="G110" s="370"/>
      <c r="H110" s="44"/>
    </row>
    <row r="111" spans="1:10" hidden="1" x14ac:dyDescent="0.25">
      <c r="A111" s="378" t="s">
        <v>243</v>
      </c>
      <c r="B111" s="207">
        <v>0</v>
      </c>
      <c r="C111" s="207">
        <v>0</v>
      </c>
      <c r="D111" s="370"/>
      <c r="E111" s="370"/>
      <c r="F111" s="370"/>
      <c r="G111" s="370"/>
      <c r="H111" s="44"/>
    </row>
    <row r="112" spans="1:10" hidden="1" x14ac:dyDescent="0.25">
      <c r="A112" s="369" t="s">
        <v>707</v>
      </c>
      <c r="B112" s="207">
        <v>0</v>
      </c>
      <c r="C112" s="207">
        <v>0</v>
      </c>
      <c r="D112" s="370"/>
      <c r="E112" s="370"/>
      <c r="F112" s="370"/>
      <c r="G112" s="370"/>
      <c r="H112" s="44"/>
    </row>
    <row r="113" spans="1:9" hidden="1" x14ac:dyDescent="0.25">
      <c r="A113" s="365" t="s">
        <v>266</v>
      </c>
      <c r="B113" s="207"/>
      <c r="C113" s="207"/>
      <c r="D113" s="370"/>
      <c r="E113" s="370"/>
      <c r="F113" s="370"/>
      <c r="G113" s="370"/>
      <c r="H113" s="44"/>
    </row>
    <row r="114" spans="1:9" hidden="1" x14ac:dyDescent="0.25">
      <c r="A114" s="365" t="s">
        <v>266</v>
      </c>
      <c r="B114" s="207"/>
      <c r="C114" s="207"/>
      <c r="D114" s="370"/>
      <c r="E114" s="370"/>
      <c r="F114" s="370"/>
      <c r="G114" s="370"/>
      <c r="H114" s="44"/>
    </row>
    <row r="115" spans="1:9" x14ac:dyDescent="0.25">
      <c r="A115" s="230" t="s">
        <v>509</v>
      </c>
      <c r="B115" s="207">
        <f>1030+1555+418+58+5500+70</f>
        <v>8631</v>
      </c>
      <c r="C115" s="207">
        <v>130894</v>
      </c>
      <c r="D115" s="370"/>
      <c r="E115" s="370"/>
      <c r="F115" s="370"/>
      <c r="G115" s="370"/>
      <c r="H115" s="44"/>
    </row>
    <row r="116" spans="1:9" hidden="1" x14ac:dyDescent="0.25">
      <c r="A116" s="55" t="s">
        <v>187</v>
      </c>
      <c r="B116" s="207">
        <v>0</v>
      </c>
      <c r="C116" s="207">
        <v>0</v>
      </c>
      <c r="D116" s="370"/>
      <c r="E116" s="370"/>
      <c r="F116" s="370"/>
      <c r="G116" s="370"/>
      <c r="H116" s="44"/>
    </row>
    <row r="117" spans="1:9" x14ac:dyDescent="0.25">
      <c r="A117" s="56" t="s">
        <v>98</v>
      </c>
      <c r="B117" s="90">
        <f>B116+B106</f>
        <v>427036</v>
      </c>
      <c r="C117" s="90">
        <f>C116+C106</f>
        <v>984816</v>
      </c>
      <c r="D117" s="499"/>
      <c r="E117" s="499"/>
      <c r="F117" s="499"/>
      <c r="G117" s="499"/>
      <c r="H117" s="44"/>
    </row>
    <row r="118" spans="1:9" x14ac:dyDescent="0.25">
      <c r="B118" s="314">
        <f>B106-Aktywa!D19</f>
        <v>0</v>
      </c>
      <c r="C118" s="314">
        <f>C106-Aktywa!E19</f>
        <v>0</v>
      </c>
      <c r="D118" s="314"/>
      <c r="E118" s="565"/>
      <c r="F118" s="565"/>
      <c r="G118" s="565"/>
      <c r="H118" s="565"/>
      <c r="I118" s="565"/>
    </row>
    <row r="119" spans="1:9" x14ac:dyDescent="0.25">
      <c r="B119" s="370"/>
      <c r="C119" s="370"/>
      <c r="D119" s="370"/>
      <c r="E119" s="370"/>
      <c r="F119" s="370"/>
      <c r="G119" s="370"/>
      <c r="H119" s="44"/>
      <c r="I119" s="44"/>
    </row>
    <row r="120" spans="1:9" x14ac:dyDescent="0.25">
      <c r="A120" s="115" t="s">
        <v>316</v>
      </c>
      <c r="B120" s="435">
        <f>B4</f>
        <v>44196</v>
      </c>
      <c r="C120" s="435">
        <f>C4</f>
        <v>43830</v>
      </c>
      <c r="D120" s="459"/>
      <c r="E120" s="459"/>
      <c r="F120" s="459"/>
      <c r="G120" s="459"/>
      <c r="H120" s="44"/>
    </row>
    <row r="121" spans="1:9" x14ac:dyDescent="0.25">
      <c r="A121" s="379" t="s">
        <v>194</v>
      </c>
      <c r="B121" s="90">
        <f>B117</f>
        <v>427036</v>
      </c>
      <c r="C121" s="90">
        <f>C117</f>
        <v>984816</v>
      </c>
      <c r="D121" s="499"/>
      <c r="E121" s="499"/>
      <c r="F121" s="499"/>
      <c r="G121" s="499"/>
      <c r="H121" s="44"/>
    </row>
    <row r="122" spans="1:9" hidden="1" x14ac:dyDescent="0.25">
      <c r="A122" s="380" t="s">
        <v>244</v>
      </c>
      <c r="B122" s="207">
        <v>0</v>
      </c>
      <c r="C122" s="207">
        <v>0</v>
      </c>
      <c r="D122" s="370"/>
      <c r="E122" s="370"/>
      <c r="F122" s="370"/>
      <c r="G122" s="370"/>
      <c r="H122" s="44"/>
    </row>
    <row r="123" spans="1:9" x14ac:dyDescent="0.25">
      <c r="A123" s="380" t="s">
        <v>245</v>
      </c>
      <c r="B123" s="207">
        <f>B121</f>
        <v>427036</v>
      </c>
      <c r="C123" s="207">
        <v>885627</v>
      </c>
      <c r="D123" s="370"/>
      <c r="E123" s="370"/>
      <c r="F123" s="370"/>
      <c r="G123" s="370"/>
      <c r="H123" s="44"/>
    </row>
    <row r="124" spans="1:9" hidden="1" x14ac:dyDescent="0.25">
      <c r="A124" s="381" t="s">
        <v>187</v>
      </c>
      <c r="B124" s="207">
        <v>0</v>
      </c>
      <c r="C124" s="207">
        <v>0</v>
      </c>
      <c r="D124" s="370"/>
      <c r="E124" s="370"/>
      <c r="F124" s="370"/>
      <c r="G124" s="370"/>
      <c r="H124" s="44"/>
    </row>
    <row r="125" spans="1:9" x14ac:dyDescent="0.25">
      <c r="A125" s="379" t="s">
        <v>98</v>
      </c>
      <c r="B125" s="90">
        <f>B124+B121</f>
        <v>427036</v>
      </c>
      <c r="C125" s="90">
        <f>C124+C121</f>
        <v>984816</v>
      </c>
      <c r="D125" s="499"/>
      <c r="E125" s="499"/>
      <c r="F125" s="499"/>
      <c r="G125" s="499"/>
      <c r="H125" s="44"/>
    </row>
    <row r="126" spans="1:9" x14ac:dyDescent="0.25">
      <c r="B126" s="314"/>
      <c r="C126" s="314"/>
      <c r="D126" s="314"/>
      <c r="E126" s="314"/>
      <c r="F126" s="314"/>
      <c r="G126" s="314"/>
    </row>
    <row r="127" spans="1:9" x14ac:dyDescent="0.25">
      <c r="A127" s="52" t="s">
        <v>513</v>
      </c>
    </row>
    <row r="128" spans="1:9" x14ac:dyDescent="0.25">
      <c r="H128" s="44"/>
      <c r="I128" s="44"/>
    </row>
    <row r="129" spans="1:9" s="424" customFormat="1" x14ac:dyDescent="0.25">
      <c r="A129" s="128" t="s">
        <v>316</v>
      </c>
      <c r="B129" s="435">
        <f>B4</f>
        <v>44196</v>
      </c>
      <c r="C129" s="435">
        <f>C4</f>
        <v>43830</v>
      </c>
      <c r="D129" s="459"/>
      <c r="E129" s="459"/>
      <c r="F129" s="459"/>
      <c r="G129" s="459"/>
      <c r="H129" s="44"/>
    </row>
    <row r="130" spans="1:9" ht="21" x14ac:dyDescent="0.25">
      <c r="A130" s="46" t="s">
        <v>560</v>
      </c>
      <c r="B130" s="131"/>
      <c r="C130" s="131"/>
      <c r="D130" s="151"/>
      <c r="E130" s="151"/>
      <c r="F130" s="151"/>
      <c r="G130" s="151"/>
      <c r="H130" s="44"/>
    </row>
    <row r="131" spans="1:9" x14ac:dyDescent="0.25">
      <c r="A131" s="46" t="s">
        <v>369</v>
      </c>
      <c r="B131" s="163"/>
      <c r="C131" s="163"/>
      <c r="D131" s="419"/>
      <c r="E131" s="419"/>
      <c r="F131" s="419"/>
      <c r="G131" s="419"/>
      <c r="H131" s="44"/>
    </row>
    <row r="132" spans="1:9" ht="21" x14ac:dyDescent="0.25">
      <c r="A132" s="50" t="s">
        <v>561</v>
      </c>
      <c r="B132" s="132">
        <f>B130-B131</f>
        <v>0</v>
      </c>
      <c r="C132" s="132">
        <f>C130-C131</f>
        <v>0</v>
      </c>
      <c r="D132" s="366"/>
      <c r="E132" s="366"/>
      <c r="F132" s="366"/>
      <c r="G132" s="366"/>
      <c r="H132" s="44"/>
    </row>
    <row r="133" spans="1:9" x14ac:dyDescent="0.25">
      <c r="A133" s="73"/>
      <c r="B133" s="366"/>
      <c r="C133" s="366"/>
      <c r="D133" s="366"/>
      <c r="E133" s="366"/>
      <c r="F133" s="366"/>
      <c r="G133" s="366"/>
      <c r="H133" s="44"/>
      <c r="I133" s="44"/>
    </row>
  </sheetData>
  <mergeCells count="20">
    <mergeCell ref="F79:F80"/>
    <mergeCell ref="G79:G80"/>
    <mergeCell ref="H79:H80"/>
    <mergeCell ref="A62:A63"/>
    <mergeCell ref="B62:B63"/>
    <mergeCell ref="C62:C63"/>
    <mergeCell ref="D62:D63"/>
    <mergeCell ref="E62:E63"/>
    <mergeCell ref="A79:A80"/>
    <mergeCell ref="B79:B80"/>
    <mergeCell ref="C79:C80"/>
    <mergeCell ref="D79:D80"/>
    <mergeCell ref="E79:E80"/>
    <mergeCell ref="B3:H3"/>
    <mergeCell ref="A12:K12"/>
    <mergeCell ref="B13:H13"/>
    <mergeCell ref="F62:F63"/>
    <mergeCell ref="G62:G63"/>
    <mergeCell ref="H62:H63"/>
    <mergeCell ref="A55:C55"/>
  </mergeCells>
  <phoneticPr fontId="31" type="noConversion"/>
  <pageMargins left="0.75" right="0.75" top="1" bottom="1" header="0.5" footer="0.5"/>
  <pageSetup paperSize="9" orientation="landscape" r:id="rId1"/>
  <headerFooter alignWithMargins="0"/>
  <rowBreaks count="1" manualBreakCount="1">
    <brk id="66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J12"/>
  <sheetViews>
    <sheetView showGridLines="0" zoomScaleNormal="100" zoomScaleSheetLayoutView="100" workbookViewId="0">
      <selection activeCell="C11" sqref="C11"/>
    </sheetView>
  </sheetViews>
  <sheetFormatPr defaultColWidth="9.33203125" defaultRowHeight="13.2" x14ac:dyDescent="0.25"/>
  <cols>
    <col min="1" max="1" width="54.6640625" customWidth="1"/>
    <col min="2" max="3" width="14.33203125" customWidth="1"/>
    <col min="4" max="4" width="13.33203125" customWidth="1"/>
  </cols>
  <sheetData>
    <row r="1" spans="1:10" x14ac:dyDescent="0.25">
      <c r="A1" s="38"/>
    </row>
    <row r="2" spans="1:10" s="44" customFormat="1" x14ac:dyDescent="0.25">
      <c r="A2" s="399" t="s">
        <v>1071</v>
      </c>
      <c r="B2" s="399"/>
      <c r="C2" s="399"/>
      <c r="D2" s="399"/>
      <c r="E2" s="399"/>
      <c r="F2" s="399"/>
    </row>
    <row r="3" spans="1:10" s="44" customFormat="1" ht="10.199999999999999" x14ac:dyDescent="0.2">
      <c r="B3" s="793"/>
      <c r="C3" s="793"/>
    </row>
    <row r="4" spans="1:10" s="44" customFormat="1" ht="10.199999999999999" x14ac:dyDescent="0.2">
      <c r="A4" s="115" t="s">
        <v>316</v>
      </c>
      <c r="B4" s="435">
        <f>Aktywa!D2</f>
        <v>44196</v>
      </c>
      <c r="C4" s="435">
        <v>43830</v>
      </c>
    </row>
    <row r="5" spans="1:10" s="44" customFormat="1" ht="10.199999999999999" x14ac:dyDescent="0.2">
      <c r="A5" s="46" t="s">
        <v>634</v>
      </c>
      <c r="B5" s="596">
        <f>2294+1047+1559+251+5970</f>
        <v>11121</v>
      </c>
      <c r="C5" s="207">
        <v>10949</v>
      </c>
    </row>
    <row r="6" spans="1:10" s="44" customFormat="1" ht="10.199999999999999" x14ac:dyDescent="0.2">
      <c r="A6" s="46" t="s">
        <v>708</v>
      </c>
      <c r="B6" s="596">
        <f>6266+572+24959+956</f>
        <v>32753</v>
      </c>
      <c r="C6" s="207">
        <v>42412</v>
      </c>
    </row>
    <row r="7" spans="1:10" s="44" customFormat="1" ht="10.199999999999999" x14ac:dyDescent="0.2">
      <c r="A7" s="46" t="s">
        <v>709</v>
      </c>
      <c r="B7" s="596">
        <f>1344+13556</f>
        <v>14900</v>
      </c>
      <c r="C7" s="207">
        <v>54688</v>
      </c>
    </row>
    <row r="8" spans="1:10" s="44" customFormat="1" ht="10.199999999999999" x14ac:dyDescent="0.2">
      <c r="A8" s="46" t="s">
        <v>635</v>
      </c>
      <c r="B8" s="596">
        <v>679</v>
      </c>
      <c r="C8" s="207">
        <v>0</v>
      </c>
    </row>
    <row r="9" spans="1:10" s="612" customFormat="1" ht="10.199999999999999" hidden="1" x14ac:dyDescent="0.2">
      <c r="A9" s="613" t="s">
        <v>807</v>
      </c>
      <c r="B9" s="207"/>
      <c r="C9" s="207">
        <v>0</v>
      </c>
    </row>
    <row r="10" spans="1:10" x14ac:dyDescent="0.25">
      <c r="A10" s="46" t="s">
        <v>198</v>
      </c>
      <c r="B10" s="207">
        <f>4057+14202+8605+3681+4010</f>
        <v>34555</v>
      </c>
      <c r="C10" s="207">
        <f>93827-490</f>
        <v>93337</v>
      </c>
    </row>
    <row r="11" spans="1:10" s="44" customFormat="1" x14ac:dyDescent="0.25">
      <c r="A11" s="527" t="s">
        <v>178</v>
      </c>
      <c r="B11" s="90">
        <f>SUM(B5:B10)</f>
        <v>94008</v>
      </c>
      <c r="C11" s="90">
        <f>SUM(C5:C10)</f>
        <v>201386</v>
      </c>
      <c r="E11" s="565"/>
      <c r="F11" s="565"/>
      <c r="G11" s="565"/>
      <c r="H11" s="565"/>
      <c r="I11" s="565"/>
      <c r="J11" s="565"/>
    </row>
    <row r="12" spans="1:10" x14ac:dyDescent="0.25">
      <c r="B12" s="314">
        <f>B11-Aktywa!D22</f>
        <v>0</v>
      </c>
      <c r="C12" s="314">
        <f>C11-Aktywa!E22</f>
        <v>0</v>
      </c>
    </row>
  </sheetData>
  <mergeCells count="1">
    <mergeCell ref="B3:C3"/>
  </mergeCells>
  <phoneticPr fontId="33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I12"/>
  <sheetViews>
    <sheetView showGridLines="0" zoomScaleNormal="100" zoomScaleSheetLayoutView="100" workbookViewId="0">
      <selection activeCell="A18" sqref="A18"/>
    </sheetView>
  </sheetViews>
  <sheetFormatPr defaultColWidth="9.33203125" defaultRowHeight="13.2" x14ac:dyDescent="0.25"/>
  <cols>
    <col min="1" max="1" width="56.33203125" style="44" customWidth="1"/>
    <col min="2" max="2" width="15.5546875" style="44" customWidth="1"/>
    <col min="3" max="3" width="14.44140625" style="44" customWidth="1"/>
    <col min="4" max="4" width="13.33203125" style="44" customWidth="1"/>
    <col min="5" max="6" width="9.33203125" style="44"/>
  </cols>
  <sheetData>
    <row r="1" spans="1:9" x14ac:dyDescent="0.25">
      <c r="A1" s="38"/>
      <c r="B1"/>
      <c r="C1"/>
      <c r="D1"/>
      <c r="E1"/>
      <c r="F1"/>
    </row>
    <row r="2" spans="1:9" s="44" customFormat="1" x14ac:dyDescent="0.25">
      <c r="A2" s="399" t="s">
        <v>1072</v>
      </c>
      <c r="B2" s="399"/>
      <c r="C2" s="399"/>
      <c r="D2" s="399"/>
      <c r="E2" s="399"/>
      <c r="F2" s="399"/>
    </row>
    <row r="3" spans="1:9" x14ac:dyDescent="0.25">
      <c r="A3" s="52"/>
      <c r="B3" s="52"/>
      <c r="C3" s="52"/>
      <c r="D3" s="370"/>
      <c r="F3"/>
    </row>
    <row r="4" spans="1:9" x14ac:dyDescent="0.25">
      <c r="A4" s="101" t="s">
        <v>316</v>
      </c>
      <c r="B4" s="435">
        <v>44196</v>
      </c>
      <c r="C4" s="435">
        <v>43830</v>
      </c>
      <c r="D4" s="370"/>
      <c r="F4"/>
    </row>
    <row r="5" spans="1:9" x14ac:dyDescent="0.25">
      <c r="A5" s="57" t="s">
        <v>118</v>
      </c>
      <c r="B5" s="90">
        <v>5951897.4299999997</v>
      </c>
      <c r="C5" s="90">
        <v>3239492</v>
      </c>
      <c r="D5" s="370"/>
      <c r="F5"/>
    </row>
    <row r="6" spans="1:9" x14ac:dyDescent="0.25">
      <c r="A6" s="89" t="s">
        <v>679</v>
      </c>
      <c r="B6" s="207">
        <v>5841517.4299999997</v>
      </c>
      <c r="C6" s="207">
        <v>3188198</v>
      </c>
      <c r="D6" s="370"/>
      <c r="F6"/>
    </row>
    <row r="7" spans="1:9" x14ac:dyDescent="0.25">
      <c r="A7" s="89" t="s">
        <v>682</v>
      </c>
      <c r="B7" s="207">
        <v>69042</v>
      </c>
      <c r="C7" s="207">
        <v>47501</v>
      </c>
      <c r="D7" s="370"/>
      <c r="F7"/>
    </row>
    <row r="8" spans="1:9" x14ac:dyDescent="0.25">
      <c r="A8" s="89" t="s">
        <v>941</v>
      </c>
      <c r="B8" s="207">
        <v>37712</v>
      </c>
      <c r="C8" s="207">
        <v>0</v>
      </c>
      <c r="D8" s="370"/>
      <c r="F8"/>
    </row>
    <row r="9" spans="1:9" s="565" customFormat="1" x14ac:dyDescent="0.25">
      <c r="A9" s="89" t="s">
        <v>942</v>
      </c>
      <c r="B9" s="207">
        <v>3626</v>
      </c>
      <c r="C9" s="207">
        <v>3793</v>
      </c>
      <c r="D9" s="370"/>
      <c r="E9" s="685"/>
    </row>
    <row r="10" spans="1:9" x14ac:dyDescent="0.25">
      <c r="A10" s="53" t="s">
        <v>27</v>
      </c>
      <c r="B10" s="90">
        <f>SUM(B6:B9)</f>
        <v>5951897.4299999997</v>
      </c>
      <c r="C10" s="90">
        <f>SUM(C6:C9)</f>
        <v>3239492</v>
      </c>
      <c r="D10" s="370"/>
      <c r="F10"/>
    </row>
    <row r="11" spans="1:9" x14ac:dyDescent="0.25">
      <c r="A11" s="528"/>
      <c r="B11" s="529">
        <f>Aktywa!D23-B10</f>
        <v>-0.42999999970197678</v>
      </c>
      <c r="C11" s="529">
        <f>Aktywa!E23-C10</f>
        <v>0</v>
      </c>
      <c r="D11" s="370"/>
      <c r="E11" s="565"/>
      <c r="F11" s="565"/>
      <c r="G11" s="565"/>
      <c r="H11" s="565"/>
      <c r="I11" s="565"/>
    </row>
    <row r="12" spans="1:9" x14ac:dyDescent="0.25">
      <c r="A12" s="52"/>
      <c r="B12" s="52"/>
      <c r="C12" s="283"/>
    </row>
  </sheetData>
  <phoneticPr fontId="31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B1:I132"/>
  <sheetViews>
    <sheetView showGridLines="0" view="pageBreakPreview" topLeftCell="A87" zoomScaleNormal="100" zoomScaleSheetLayoutView="85" workbookViewId="0">
      <selection activeCell="L137" sqref="L137"/>
    </sheetView>
  </sheetViews>
  <sheetFormatPr defaultRowHeight="10.199999999999999" x14ac:dyDescent="0.2"/>
  <cols>
    <col min="1" max="1" width="2.6640625" style="44" customWidth="1"/>
    <col min="2" max="2" width="35.5546875" style="44" customWidth="1"/>
    <col min="3" max="4" width="13.6640625" style="44" customWidth="1"/>
    <col min="5" max="5" width="11.5546875" style="44" customWidth="1"/>
    <col min="6" max="6" width="12.44140625" style="44" customWidth="1"/>
    <col min="7" max="7" width="12.33203125" style="44" customWidth="1"/>
    <col min="8" max="9" width="12.6640625" style="44" customWidth="1"/>
    <col min="10" max="256" width="9.33203125" style="44"/>
    <col min="257" max="257" width="2.6640625" style="44" customWidth="1"/>
    <col min="258" max="258" width="35.5546875" style="44" customWidth="1"/>
    <col min="259" max="260" width="13.6640625" style="44" customWidth="1"/>
    <col min="261" max="261" width="11.5546875" style="44" customWidth="1"/>
    <col min="262" max="262" width="12.44140625" style="44" customWidth="1"/>
    <col min="263" max="263" width="12.33203125" style="44" customWidth="1"/>
    <col min="264" max="265" width="12.6640625" style="44" customWidth="1"/>
    <col min="266" max="512" width="9.33203125" style="44"/>
    <col min="513" max="513" width="2.6640625" style="44" customWidth="1"/>
    <col min="514" max="514" width="35.5546875" style="44" customWidth="1"/>
    <col min="515" max="516" width="13.6640625" style="44" customWidth="1"/>
    <col min="517" max="517" width="11.5546875" style="44" customWidth="1"/>
    <col min="518" max="518" width="12.44140625" style="44" customWidth="1"/>
    <col min="519" max="519" width="12.33203125" style="44" customWidth="1"/>
    <col min="520" max="521" width="12.6640625" style="44" customWidth="1"/>
    <col min="522" max="768" width="9.33203125" style="44"/>
    <col min="769" max="769" width="2.6640625" style="44" customWidth="1"/>
    <col min="770" max="770" width="35.5546875" style="44" customWidth="1"/>
    <col min="771" max="772" width="13.6640625" style="44" customWidth="1"/>
    <col min="773" max="773" width="11.5546875" style="44" customWidth="1"/>
    <col min="774" max="774" width="12.44140625" style="44" customWidth="1"/>
    <col min="775" max="775" width="12.33203125" style="44" customWidth="1"/>
    <col min="776" max="777" width="12.6640625" style="44" customWidth="1"/>
    <col min="778" max="1024" width="9.33203125" style="44"/>
    <col min="1025" max="1025" width="2.6640625" style="44" customWidth="1"/>
    <col min="1026" max="1026" width="35.5546875" style="44" customWidth="1"/>
    <col min="1027" max="1028" width="13.6640625" style="44" customWidth="1"/>
    <col min="1029" max="1029" width="11.5546875" style="44" customWidth="1"/>
    <col min="1030" max="1030" width="12.44140625" style="44" customWidth="1"/>
    <col min="1031" max="1031" width="12.33203125" style="44" customWidth="1"/>
    <col min="1032" max="1033" width="12.6640625" style="44" customWidth="1"/>
    <col min="1034" max="1280" width="9.33203125" style="44"/>
    <col min="1281" max="1281" width="2.6640625" style="44" customWidth="1"/>
    <col min="1282" max="1282" width="35.5546875" style="44" customWidth="1"/>
    <col min="1283" max="1284" width="13.6640625" style="44" customWidth="1"/>
    <col min="1285" max="1285" width="11.5546875" style="44" customWidth="1"/>
    <col min="1286" max="1286" width="12.44140625" style="44" customWidth="1"/>
    <col min="1287" max="1287" width="12.33203125" style="44" customWidth="1"/>
    <col min="1288" max="1289" width="12.6640625" style="44" customWidth="1"/>
    <col min="1290" max="1536" width="9.33203125" style="44"/>
    <col min="1537" max="1537" width="2.6640625" style="44" customWidth="1"/>
    <col min="1538" max="1538" width="35.5546875" style="44" customWidth="1"/>
    <col min="1539" max="1540" width="13.6640625" style="44" customWidth="1"/>
    <col min="1541" max="1541" width="11.5546875" style="44" customWidth="1"/>
    <col min="1542" max="1542" width="12.44140625" style="44" customWidth="1"/>
    <col min="1543" max="1543" width="12.33203125" style="44" customWidth="1"/>
    <col min="1544" max="1545" width="12.6640625" style="44" customWidth="1"/>
    <col min="1546" max="1792" width="9.33203125" style="44"/>
    <col min="1793" max="1793" width="2.6640625" style="44" customWidth="1"/>
    <col min="1794" max="1794" width="35.5546875" style="44" customWidth="1"/>
    <col min="1795" max="1796" width="13.6640625" style="44" customWidth="1"/>
    <col min="1797" max="1797" width="11.5546875" style="44" customWidth="1"/>
    <col min="1798" max="1798" width="12.44140625" style="44" customWidth="1"/>
    <col min="1799" max="1799" width="12.33203125" style="44" customWidth="1"/>
    <col min="1800" max="1801" width="12.6640625" style="44" customWidth="1"/>
    <col min="1802" max="2048" width="9.33203125" style="44"/>
    <col min="2049" max="2049" width="2.6640625" style="44" customWidth="1"/>
    <col min="2050" max="2050" width="35.5546875" style="44" customWidth="1"/>
    <col min="2051" max="2052" width="13.6640625" style="44" customWidth="1"/>
    <col min="2053" max="2053" width="11.5546875" style="44" customWidth="1"/>
    <col min="2054" max="2054" width="12.44140625" style="44" customWidth="1"/>
    <col min="2055" max="2055" width="12.33203125" style="44" customWidth="1"/>
    <col min="2056" max="2057" width="12.6640625" style="44" customWidth="1"/>
    <col min="2058" max="2304" width="9.33203125" style="44"/>
    <col min="2305" max="2305" width="2.6640625" style="44" customWidth="1"/>
    <col min="2306" max="2306" width="35.5546875" style="44" customWidth="1"/>
    <col min="2307" max="2308" width="13.6640625" style="44" customWidth="1"/>
    <col min="2309" max="2309" width="11.5546875" style="44" customWidth="1"/>
    <col min="2310" max="2310" width="12.44140625" style="44" customWidth="1"/>
    <col min="2311" max="2311" width="12.33203125" style="44" customWidth="1"/>
    <col min="2312" max="2313" width="12.6640625" style="44" customWidth="1"/>
    <col min="2314" max="2560" width="9.33203125" style="44"/>
    <col min="2561" max="2561" width="2.6640625" style="44" customWidth="1"/>
    <col min="2562" max="2562" width="35.5546875" style="44" customWidth="1"/>
    <col min="2563" max="2564" width="13.6640625" style="44" customWidth="1"/>
    <col min="2565" max="2565" width="11.5546875" style="44" customWidth="1"/>
    <col min="2566" max="2566" width="12.44140625" style="44" customWidth="1"/>
    <col min="2567" max="2567" width="12.33203125" style="44" customWidth="1"/>
    <col min="2568" max="2569" width="12.6640625" style="44" customWidth="1"/>
    <col min="2570" max="2816" width="9.33203125" style="44"/>
    <col min="2817" max="2817" width="2.6640625" style="44" customWidth="1"/>
    <col min="2818" max="2818" width="35.5546875" style="44" customWidth="1"/>
    <col min="2819" max="2820" width="13.6640625" style="44" customWidth="1"/>
    <col min="2821" max="2821" width="11.5546875" style="44" customWidth="1"/>
    <col min="2822" max="2822" width="12.44140625" style="44" customWidth="1"/>
    <col min="2823" max="2823" width="12.33203125" style="44" customWidth="1"/>
    <col min="2824" max="2825" width="12.6640625" style="44" customWidth="1"/>
    <col min="2826" max="3072" width="9.33203125" style="44"/>
    <col min="3073" max="3073" width="2.6640625" style="44" customWidth="1"/>
    <col min="3074" max="3074" width="35.5546875" style="44" customWidth="1"/>
    <col min="3075" max="3076" width="13.6640625" style="44" customWidth="1"/>
    <col min="3077" max="3077" width="11.5546875" style="44" customWidth="1"/>
    <col min="3078" max="3078" width="12.44140625" style="44" customWidth="1"/>
    <col min="3079" max="3079" width="12.33203125" style="44" customWidth="1"/>
    <col min="3080" max="3081" width="12.6640625" style="44" customWidth="1"/>
    <col min="3082" max="3328" width="9.33203125" style="44"/>
    <col min="3329" max="3329" width="2.6640625" style="44" customWidth="1"/>
    <col min="3330" max="3330" width="35.5546875" style="44" customWidth="1"/>
    <col min="3331" max="3332" width="13.6640625" style="44" customWidth="1"/>
    <col min="3333" max="3333" width="11.5546875" style="44" customWidth="1"/>
    <col min="3334" max="3334" width="12.44140625" style="44" customWidth="1"/>
    <col min="3335" max="3335" width="12.33203125" style="44" customWidth="1"/>
    <col min="3336" max="3337" width="12.6640625" style="44" customWidth="1"/>
    <col min="3338" max="3584" width="9.33203125" style="44"/>
    <col min="3585" max="3585" width="2.6640625" style="44" customWidth="1"/>
    <col min="3586" max="3586" width="35.5546875" style="44" customWidth="1"/>
    <col min="3587" max="3588" width="13.6640625" style="44" customWidth="1"/>
    <col min="3589" max="3589" width="11.5546875" style="44" customWidth="1"/>
    <col min="3590" max="3590" width="12.44140625" style="44" customWidth="1"/>
    <col min="3591" max="3591" width="12.33203125" style="44" customWidth="1"/>
    <col min="3592" max="3593" width="12.6640625" style="44" customWidth="1"/>
    <col min="3594" max="3840" width="9.33203125" style="44"/>
    <col min="3841" max="3841" width="2.6640625" style="44" customWidth="1"/>
    <col min="3842" max="3842" width="35.5546875" style="44" customWidth="1"/>
    <col min="3843" max="3844" width="13.6640625" style="44" customWidth="1"/>
    <col min="3845" max="3845" width="11.5546875" style="44" customWidth="1"/>
    <col min="3846" max="3846" width="12.44140625" style="44" customWidth="1"/>
    <col min="3847" max="3847" width="12.33203125" style="44" customWidth="1"/>
    <col min="3848" max="3849" width="12.6640625" style="44" customWidth="1"/>
    <col min="3850" max="4096" width="9.33203125" style="44"/>
    <col min="4097" max="4097" width="2.6640625" style="44" customWidth="1"/>
    <col min="4098" max="4098" width="35.5546875" style="44" customWidth="1"/>
    <col min="4099" max="4100" width="13.6640625" style="44" customWidth="1"/>
    <col min="4101" max="4101" width="11.5546875" style="44" customWidth="1"/>
    <col min="4102" max="4102" width="12.44140625" style="44" customWidth="1"/>
    <col min="4103" max="4103" width="12.33203125" style="44" customWidth="1"/>
    <col min="4104" max="4105" width="12.6640625" style="44" customWidth="1"/>
    <col min="4106" max="4352" width="9.33203125" style="44"/>
    <col min="4353" max="4353" width="2.6640625" style="44" customWidth="1"/>
    <col min="4354" max="4354" width="35.5546875" style="44" customWidth="1"/>
    <col min="4355" max="4356" width="13.6640625" style="44" customWidth="1"/>
    <col min="4357" max="4357" width="11.5546875" style="44" customWidth="1"/>
    <col min="4358" max="4358" width="12.44140625" style="44" customWidth="1"/>
    <col min="4359" max="4359" width="12.33203125" style="44" customWidth="1"/>
    <col min="4360" max="4361" width="12.6640625" style="44" customWidth="1"/>
    <col min="4362" max="4608" width="9.33203125" style="44"/>
    <col min="4609" max="4609" width="2.6640625" style="44" customWidth="1"/>
    <col min="4610" max="4610" width="35.5546875" style="44" customWidth="1"/>
    <col min="4611" max="4612" width="13.6640625" style="44" customWidth="1"/>
    <col min="4613" max="4613" width="11.5546875" style="44" customWidth="1"/>
    <col min="4614" max="4614" width="12.44140625" style="44" customWidth="1"/>
    <col min="4615" max="4615" width="12.33203125" style="44" customWidth="1"/>
    <col min="4616" max="4617" width="12.6640625" style="44" customWidth="1"/>
    <col min="4618" max="4864" width="9.33203125" style="44"/>
    <col min="4865" max="4865" width="2.6640625" style="44" customWidth="1"/>
    <col min="4866" max="4866" width="35.5546875" style="44" customWidth="1"/>
    <col min="4867" max="4868" width="13.6640625" style="44" customWidth="1"/>
    <col min="4869" max="4869" width="11.5546875" style="44" customWidth="1"/>
    <col min="4870" max="4870" width="12.44140625" style="44" customWidth="1"/>
    <col min="4871" max="4871" width="12.33203125" style="44" customWidth="1"/>
    <col min="4872" max="4873" width="12.6640625" style="44" customWidth="1"/>
    <col min="4874" max="5120" width="9.33203125" style="44"/>
    <col min="5121" max="5121" width="2.6640625" style="44" customWidth="1"/>
    <col min="5122" max="5122" width="35.5546875" style="44" customWidth="1"/>
    <col min="5123" max="5124" width="13.6640625" style="44" customWidth="1"/>
    <col min="5125" max="5125" width="11.5546875" style="44" customWidth="1"/>
    <col min="5126" max="5126" width="12.44140625" style="44" customWidth="1"/>
    <col min="5127" max="5127" width="12.33203125" style="44" customWidth="1"/>
    <col min="5128" max="5129" width="12.6640625" style="44" customWidth="1"/>
    <col min="5130" max="5376" width="9.33203125" style="44"/>
    <col min="5377" max="5377" width="2.6640625" style="44" customWidth="1"/>
    <col min="5378" max="5378" width="35.5546875" style="44" customWidth="1"/>
    <col min="5379" max="5380" width="13.6640625" style="44" customWidth="1"/>
    <col min="5381" max="5381" width="11.5546875" style="44" customWidth="1"/>
    <col min="5382" max="5382" width="12.44140625" style="44" customWidth="1"/>
    <col min="5383" max="5383" width="12.33203125" style="44" customWidth="1"/>
    <col min="5384" max="5385" width="12.6640625" style="44" customWidth="1"/>
    <col min="5386" max="5632" width="9.33203125" style="44"/>
    <col min="5633" max="5633" width="2.6640625" style="44" customWidth="1"/>
    <col min="5634" max="5634" width="35.5546875" style="44" customWidth="1"/>
    <col min="5635" max="5636" width="13.6640625" style="44" customWidth="1"/>
    <col min="5637" max="5637" width="11.5546875" style="44" customWidth="1"/>
    <col min="5638" max="5638" width="12.44140625" style="44" customWidth="1"/>
    <col min="5639" max="5639" width="12.33203125" style="44" customWidth="1"/>
    <col min="5640" max="5641" width="12.6640625" style="44" customWidth="1"/>
    <col min="5642" max="5888" width="9.33203125" style="44"/>
    <col min="5889" max="5889" width="2.6640625" style="44" customWidth="1"/>
    <col min="5890" max="5890" width="35.5546875" style="44" customWidth="1"/>
    <col min="5891" max="5892" width="13.6640625" style="44" customWidth="1"/>
    <col min="5893" max="5893" width="11.5546875" style="44" customWidth="1"/>
    <col min="5894" max="5894" width="12.44140625" style="44" customWidth="1"/>
    <col min="5895" max="5895" width="12.33203125" style="44" customWidth="1"/>
    <col min="5896" max="5897" width="12.6640625" style="44" customWidth="1"/>
    <col min="5898" max="6144" width="9.33203125" style="44"/>
    <col min="6145" max="6145" width="2.6640625" style="44" customWidth="1"/>
    <col min="6146" max="6146" width="35.5546875" style="44" customWidth="1"/>
    <col min="6147" max="6148" width="13.6640625" style="44" customWidth="1"/>
    <col min="6149" max="6149" width="11.5546875" style="44" customWidth="1"/>
    <col min="6150" max="6150" width="12.44140625" style="44" customWidth="1"/>
    <col min="6151" max="6151" width="12.33203125" style="44" customWidth="1"/>
    <col min="6152" max="6153" width="12.6640625" style="44" customWidth="1"/>
    <col min="6154" max="6400" width="9.33203125" style="44"/>
    <col min="6401" max="6401" width="2.6640625" style="44" customWidth="1"/>
    <col min="6402" max="6402" width="35.5546875" style="44" customWidth="1"/>
    <col min="6403" max="6404" width="13.6640625" style="44" customWidth="1"/>
    <col min="6405" max="6405" width="11.5546875" style="44" customWidth="1"/>
    <col min="6406" max="6406" width="12.44140625" style="44" customWidth="1"/>
    <col min="6407" max="6407" width="12.33203125" style="44" customWidth="1"/>
    <col min="6408" max="6409" width="12.6640625" style="44" customWidth="1"/>
    <col min="6410" max="6656" width="9.33203125" style="44"/>
    <col min="6657" max="6657" width="2.6640625" style="44" customWidth="1"/>
    <col min="6658" max="6658" width="35.5546875" style="44" customWidth="1"/>
    <col min="6659" max="6660" width="13.6640625" style="44" customWidth="1"/>
    <col min="6661" max="6661" width="11.5546875" style="44" customWidth="1"/>
    <col min="6662" max="6662" width="12.44140625" style="44" customWidth="1"/>
    <col min="6663" max="6663" width="12.33203125" style="44" customWidth="1"/>
    <col min="6664" max="6665" width="12.6640625" style="44" customWidth="1"/>
    <col min="6666" max="6912" width="9.33203125" style="44"/>
    <col min="6913" max="6913" width="2.6640625" style="44" customWidth="1"/>
    <col min="6914" max="6914" width="35.5546875" style="44" customWidth="1"/>
    <col min="6915" max="6916" width="13.6640625" style="44" customWidth="1"/>
    <col min="6917" max="6917" width="11.5546875" style="44" customWidth="1"/>
    <col min="6918" max="6918" width="12.44140625" style="44" customWidth="1"/>
    <col min="6919" max="6919" width="12.33203125" style="44" customWidth="1"/>
    <col min="6920" max="6921" width="12.6640625" style="44" customWidth="1"/>
    <col min="6922" max="7168" width="9.33203125" style="44"/>
    <col min="7169" max="7169" width="2.6640625" style="44" customWidth="1"/>
    <col min="7170" max="7170" width="35.5546875" style="44" customWidth="1"/>
    <col min="7171" max="7172" width="13.6640625" style="44" customWidth="1"/>
    <col min="7173" max="7173" width="11.5546875" style="44" customWidth="1"/>
    <col min="7174" max="7174" width="12.44140625" style="44" customWidth="1"/>
    <col min="7175" max="7175" width="12.33203125" style="44" customWidth="1"/>
    <col min="7176" max="7177" width="12.6640625" style="44" customWidth="1"/>
    <col min="7178" max="7424" width="9.33203125" style="44"/>
    <col min="7425" max="7425" width="2.6640625" style="44" customWidth="1"/>
    <col min="7426" max="7426" width="35.5546875" style="44" customWidth="1"/>
    <col min="7427" max="7428" width="13.6640625" style="44" customWidth="1"/>
    <col min="7429" max="7429" width="11.5546875" style="44" customWidth="1"/>
    <col min="7430" max="7430" width="12.44140625" style="44" customWidth="1"/>
    <col min="7431" max="7431" width="12.33203125" style="44" customWidth="1"/>
    <col min="7432" max="7433" width="12.6640625" style="44" customWidth="1"/>
    <col min="7434" max="7680" width="9.33203125" style="44"/>
    <col min="7681" max="7681" width="2.6640625" style="44" customWidth="1"/>
    <col min="7682" max="7682" width="35.5546875" style="44" customWidth="1"/>
    <col min="7683" max="7684" width="13.6640625" style="44" customWidth="1"/>
    <col min="7685" max="7685" width="11.5546875" style="44" customWidth="1"/>
    <col min="7686" max="7686" width="12.44140625" style="44" customWidth="1"/>
    <col min="7687" max="7687" width="12.33203125" style="44" customWidth="1"/>
    <col min="7688" max="7689" width="12.6640625" style="44" customWidth="1"/>
    <col min="7690" max="7936" width="9.33203125" style="44"/>
    <col min="7937" max="7937" width="2.6640625" style="44" customWidth="1"/>
    <col min="7938" max="7938" width="35.5546875" style="44" customWidth="1"/>
    <col min="7939" max="7940" width="13.6640625" style="44" customWidth="1"/>
    <col min="7941" max="7941" width="11.5546875" style="44" customWidth="1"/>
    <col min="7942" max="7942" width="12.44140625" style="44" customWidth="1"/>
    <col min="7943" max="7943" width="12.33203125" style="44" customWidth="1"/>
    <col min="7944" max="7945" width="12.6640625" style="44" customWidth="1"/>
    <col min="7946" max="8192" width="9.33203125" style="44"/>
    <col min="8193" max="8193" width="2.6640625" style="44" customWidth="1"/>
    <col min="8194" max="8194" width="35.5546875" style="44" customWidth="1"/>
    <col min="8195" max="8196" width="13.6640625" style="44" customWidth="1"/>
    <col min="8197" max="8197" width="11.5546875" style="44" customWidth="1"/>
    <col min="8198" max="8198" width="12.44140625" style="44" customWidth="1"/>
    <col min="8199" max="8199" width="12.33203125" style="44" customWidth="1"/>
    <col min="8200" max="8201" width="12.6640625" style="44" customWidth="1"/>
    <col min="8202" max="8448" width="9.33203125" style="44"/>
    <col min="8449" max="8449" width="2.6640625" style="44" customWidth="1"/>
    <col min="8450" max="8450" width="35.5546875" style="44" customWidth="1"/>
    <col min="8451" max="8452" width="13.6640625" style="44" customWidth="1"/>
    <col min="8453" max="8453" width="11.5546875" style="44" customWidth="1"/>
    <col min="8454" max="8454" width="12.44140625" style="44" customWidth="1"/>
    <col min="8455" max="8455" width="12.33203125" style="44" customWidth="1"/>
    <col min="8456" max="8457" width="12.6640625" style="44" customWidth="1"/>
    <col min="8458" max="8704" width="9.33203125" style="44"/>
    <col min="8705" max="8705" width="2.6640625" style="44" customWidth="1"/>
    <col min="8706" max="8706" width="35.5546875" style="44" customWidth="1"/>
    <col min="8707" max="8708" width="13.6640625" style="44" customWidth="1"/>
    <col min="8709" max="8709" width="11.5546875" style="44" customWidth="1"/>
    <col min="8710" max="8710" width="12.44140625" style="44" customWidth="1"/>
    <col min="8711" max="8711" width="12.33203125" style="44" customWidth="1"/>
    <col min="8712" max="8713" width="12.6640625" style="44" customWidth="1"/>
    <col min="8714" max="8960" width="9.33203125" style="44"/>
    <col min="8961" max="8961" width="2.6640625" style="44" customWidth="1"/>
    <col min="8962" max="8962" width="35.5546875" style="44" customWidth="1"/>
    <col min="8963" max="8964" width="13.6640625" style="44" customWidth="1"/>
    <col min="8965" max="8965" width="11.5546875" style="44" customWidth="1"/>
    <col min="8966" max="8966" width="12.44140625" style="44" customWidth="1"/>
    <col min="8967" max="8967" width="12.33203125" style="44" customWidth="1"/>
    <col min="8968" max="8969" width="12.6640625" style="44" customWidth="1"/>
    <col min="8970" max="9216" width="9.33203125" style="44"/>
    <col min="9217" max="9217" width="2.6640625" style="44" customWidth="1"/>
    <col min="9218" max="9218" width="35.5546875" style="44" customWidth="1"/>
    <col min="9219" max="9220" width="13.6640625" style="44" customWidth="1"/>
    <col min="9221" max="9221" width="11.5546875" style="44" customWidth="1"/>
    <col min="9222" max="9222" width="12.44140625" style="44" customWidth="1"/>
    <col min="9223" max="9223" width="12.33203125" style="44" customWidth="1"/>
    <col min="9224" max="9225" width="12.6640625" style="44" customWidth="1"/>
    <col min="9226" max="9472" width="9.33203125" style="44"/>
    <col min="9473" max="9473" width="2.6640625" style="44" customWidth="1"/>
    <col min="9474" max="9474" width="35.5546875" style="44" customWidth="1"/>
    <col min="9475" max="9476" width="13.6640625" style="44" customWidth="1"/>
    <col min="9477" max="9477" width="11.5546875" style="44" customWidth="1"/>
    <col min="9478" max="9478" width="12.44140625" style="44" customWidth="1"/>
    <col min="9479" max="9479" width="12.33203125" style="44" customWidth="1"/>
    <col min="9480" max="9481" width="12.6640625" style="44" customWidth="1"/>
    <col min="9482" max="9728" width="9.33203125" style="44"/>
    <col min="9729" max="9729" width="2.6640625" style="44" customWidth="1"/>
    <col min="9730" max="9730" width="35.5546875" style="44" customWidth="1"/>
    <col min="9731" max="9732" width="13.6640625" style="44" customWidth="1"/>
    <col min="9733" max="9733" width="11.5546875" style="44" customWidth="1"/>
    <col min="9734" max="9734" width="12.44140625" style="44" customWidth="1"/>
    <col min="9735" max="9735" width="12.33203125" style="44" customWidth="1"/>
    <col min="9736" max="9737" width="12.6640625" style="44" customWidth="1"/>
    <col min="9738" max="9984" width="9.33203125" style="44"/>
    <col min="9985" max="9985" width="2.6640625" style="44" customWidth="1"/>
    <col min="9986" max="9986" width="35.5546875" style="44" customWidth="1"/>
    <col min="9987" max="9988" width="13.6640625" style="44" customWidth="1"/>
    <col min="9989" max="9989" width="11.5546875" style="44" customWidth="1"/>
    <col min="9990" max="9990" width="12.44140625" style="44" customWidth="1"/>
    <col min="9991" max="9991" width="12.33203125" style="44" customWidth="1"/>
    <col min="9992" max="9993" width="12.6640625" style="44" customWidth="1"/>
    <col min="9994" max="10240" width="9.33203125" style="44"/>
    <col min="10241" max="10241" width="2.6640625" style="44" customWidth="1"/>
    <col min="10242" max="10242" width="35.5546875" style="44" customWidth="1"/>
    <col min="10243" max="10244" width="13.6640625" style="44" customWidth="1"/>
    <col min="10245" max="10245" width="11.5546875" style="44" customWidth="1"/>
    <col min="10246" max="10246" width="12.44140625" style="44" customWidth="1"/>
    <col min="10247" max="10247" width="12.33203125" style="44" customWidth="1"/>
    <col min="10248" max="10249" width="12.6640625" style="44" customWidth="1"/>
    <col min="10250" max="10496" width="9.33203125" style="44"/>
    <col min="10497" max="10497" width="2.6640625" style="44" customWidth="1"/>
    <col min="10498" max="10498" width="35.5546875" style="44" customWidth="1"/>
    <col min="10499" max="10500" width="13.6640625" style="44" customWidth="1"/>
    <col min="10501" max="10501" width="11.5546875" style="44" customWidth="1"/>
    <col min="10502" max="10502" width="12.44140625" style="44" customWidth="1"/>
    <col min="10503" max="10503" width="12.33203125" style="44" customWidth="1"/>
    <col min="10504" max="10505" width="12.6640625" style="44" customWidth="1"/>
    <col min="10506" max="10752" width="9.33203125" style="44"/>
    <col min="10753" max="10753" width="2.6640625" style="44" customWidth="1"/>
    <col min="10754" max="10754" width="35.5546875" style="44" customWidth="1"/>
    <col min="10755" max="10756" width="13.6640625" style="44" customWidth="1"/>
    <col min="10757" max="10757" width="11.5546875" style="44" customWidth="1"/>
    <col min="10758" max="10758" width="12.44140625" style="44" customWidth="1"/>
    <col min="10759" max="10759" width="12.33203125" style="44" customWidth="1"/>
    <col min="10760" max="10761" width="12.6640625" style="44" customWidth="1"/>
    <col min="10762" max="11008" width="9.33203125" style="44"/>
    <col min="11009" max="11009" width="2.6640625" style="44" customWidth="1"/>
    <col min="11010" max="11010" width="35.5546875" style="44" customWidth="1"/>
    <col min="11011" max="11012" width="13.6640625" style="44" customWidth="1"/>
    <col min="11013" max="11013" width="11.5546875" style="44" customWidth="1"/>
    <col min="11014" max="11014" width="12.44140625" style="44" customWidth="1"/>
    <col min="11015" max="11015" width="12.33203125" style="44" customWidth="1"/>
    <col min="11016" max="11017" width="12.6640625" style="44" customWidth="1"/>
    <col min="11018" max="11264" width="9.33203125" style="44"/>
    <col min="11265" max="11265" width="2.6640625" style="44" customWidth="1"/>
    <col min="11266" max="11266" width="35.5546875" style="44" customWidth="1"/>
    <col min="11267" max="11268" width="13.6640625" style="44" customWidth="1"/>
    <col min="11269" max="11269" width="11.5546875" style="44" customWidth="1"/>
    <col min="11270" max="11270" width="12.44140625" style="44" customWidth="1"/>
    <col min="11271" max="11271" width="12.33203125" style="44" customWidth="1"/>
    <col min="11272" max="11273" width="12.6640625" style="44" customWidth="1"/>
    <col min="11274" max="11520" width="9.33203125" style="44"/>
    <col min="11521" max="11521" width="2.6640625" style="44" customWidth="1"/>
    <col min="11522" max="11522" width="35.5546875" style="44" customWidth="1"/>
    <col min="11523" max="11524" width="13.6640625" style="44" customWidth="1"/>
    <col min="11525" max="11525" width="11.5546875" style="44" customWidth="1"/>
    <col min="11526" max="11526" width="12.44140625" style="44" customWidth="1"/>
    <col min="11527" max="11527" width="12.33203125" style="44" customWidth="1"/>
    <col min="11528" max="11529" width="12.6640625" style="44" customWidth="1"/>
    <col min="11530" max="11776" width="9.33203125" style="44"/>
    <col min="11777" max="11777" width="2.6640625" style="44" customWidth="1"/>
    <col min="11778" max="11778" width="35.5546875" style="44" customWidth="1"/>
    <col min="11779" max="11780" width="13.6640625" style="44" customWidth="1"/>
    <col min="11781" max="11781" width="11.5546875" style="44" customWidth="1"/>
    <col min="11782" max="11782" width="12.44140625" style="44" customWidth="1"/>
    <col min="11783" max="11783" width="12.33203125" style="44" customWidth="1"/>
    <col min="11784" max="11785" width="12.6640625" style="44" customWidth="1"/>
    <col min="11786" max="12032" width="9.33203125" style="44"/>
    <col min="12033" max="12033" width="2.6640625" style="44" customWidth="1"/>
    <col min="12034" max="12034" width="35.5546875" style="44" customWidth="1"/>
    <col min="12035" max="12036" width="13.6640625" style="44" customWidth="1"/>
    <col min="12037" max="12037" width="11.5546875" style="44" customWidth="1"/>
    <col min="12038" max="12038" width="12.44140625" style="44" customWidth="1"/>
    <col min="12039" max="12039" width="12.33203125" style="44" customWidth="1"/>
    <col min="12040" max="12041" width="12.6640625" style="44" customWidth="1"/>
    <col min="12042" max="12288" width="9.33203125" style="44"/>
    <col min="12289" max="12289" width="2.6640625" style="44" customWidth="1"/>
    <col min="12290" max="12290" width="35.5546875" style="44" customWidth="1"/>
    <col min="12291" max="12292" width="13.6640625" style="44" customWidth="1"/>
    <col min="12293" max="12293" width="11.5546875" style="44" customWidth="1"/>
    <col min="12294" max="12294" width="12.44140625" style="44" customWidth="1"/>
    <col min="12295" max="12295" width="12.33203125" style="44" customWidth="1"/>
    <col min="12296" max="12297" width="12.6640625" style="44" customWidth="1"/>
    <col min="12298" max="12544" width="9.33203125" style="44"/>
    <col min="12545" max="12545" width="2.6640625" style="44" customWidth="1"/>
    <col min="12546" max="12546" width="35.5546875" style="44" customWidth="1"/>
    <col min="12547" max="12548" width="13.6640625" style="44" customWidth="1"/>
    <col min="12549" max="12549" width="11.5546875" style="44" customWidth="1"/>
    <col min="12550" max="12550" width="12.44140625" style="44" customWidth="1"/>
    <col min="12551" max="12551" width="12.33203125" style="44" customWidth="1"/>
    <col min="12552" max="12553" width="12.6640625" style="44" customWidth="1"/>
    <col min="12554" max="12800" width="9.33203125" style="44"/>
    <col min="12801" max="12801" width="2.6640625" style="44" customWidth="1"/>
    <col min="12802" max="12802" width="35.5546875" style="44" customWidth="1"/>
    <col min="12803" max="12804" width="13.6640625" style="44" customWidth="1"/>
    <col min="12805" max="12805" width="11.5546875" style="44" customWidth="1"/>
    <col min="12806" max="12806" width="12.44140625" style="44" customWidth="1"/>
    <col min="12807" max="12807" width="12.33203125" style="44" customWidth="1"/>
    <col min="12808" max="12809" width="12.6640625" style="44" customWidth="1"/>
    <col min="12810" max="13056" width="9.33203125" style="44"/>
    <col min="13057" max="13057" width="2.6640625" style="44" customWidth="1"/>
    <col min="13058" max="13058" width="35.5546875" style="44" customWidth="1"/>
    <col min="13059" max="13060" width="13.6640625" style="44" customWidth="1"/>
    <col min="13061" max="13061" width="11.5546875" style="44" customWidth="1"/>
    <col min="13062" max="13062" width="12.44140625" style="44" customWidth="1"/>
    <col min="13063" max="13063" width="12.33203125" style="44" customWidth="1"/>
    <col min="13064" max="13065" width="12.6640625" style="44" customWidth="1"/>
    <col min="13066" max="13312" width="9.33203125" style="44"/>
    <col min="13313" max="13313" width="2.6640625" style="44" customWidth="1"/>
    <col min="13314" max="13314" width="35.5546875" style="44" customWidth="1"/>
    <col min="13315" max="13316" width="13.6640625" style="44" customWidth="1"/>
    <col min="13317" max="13317" width="11.5546875" style="44" customWidth="1"/>
    <col min="13318" max="13318" width="12.44140625" style="44" customWidth="1"/>
    <col min="13319" max="13319" width="12.33203125" style="44" customWidth="1"/>
    <col min="13320" max="13321" width="12.6640625" style="44" customWidth="1"/>
    <col min="13322" max="13568" width="9.33203125" style="44"/>
    <col min="13569" max="13569" width="2.6640625" style="44" customWidth="1"/>
    <col min="13570" max="13570" width="35.5546875" style="44" customWidth="1"/>
    <col min="13571" max="13572" width="13.6640625" style="44" customWidth="1"/>
    <col min="13573" max="13573" width="11.5546875" style="44" customWidth="1"/>
    <col min="13574" max="13574" width="12.44140625" style="44" customWidth="1"/>
    <col min="13575" max="13575" width="12.33203125" style="44" customWidth="1"/>
    <col min="13576" max="13577" width="12.6640625" style="44" customWidth="1"/>
    <col min="13578" max="13824" width="9.33203125" style="44"/>
    <col min="13825" max="13825" width="2.6640625" style="44" customWidth="1"/>
    <col min="13826" max="13826" width="35.5546875" style="44" customWidth="1"/>
    <col min="13827" max="13828" width="13.6640625" style="44" customWidth="1"/>
    <col min="13829" max="13829" width="11.5546875" style="44" customWidth="1"/>
    <col min="13830" max="13830" width="12.44140625" style="44" customWidth="1"/>
    <col min="13831" max="13831" width="12.33203125" style="44" customWidth="1"/>
    <col min="13832" max="13833" width="12.6640625" style="44" customWidth="1"/>
    <col min="13834" max="14080" width="9.33203125" style="44"/>
    <col min="14081" max="14081" width="2.6640625" style="44" customWidth="1"/>
    <col min="14082" max="14082" width="35.5546875" style="44" customWidth="1"/>
    <col min="14083" max="14084" width="13.6640625" style="44" customWidth="1"/>
    <col min="14085" max="14085" width="11.5546875" style="44" customWidth="1"/>
    <col min="14086" max="14086" width="12.44140625" style="44" customWidth="1"/>
    <col min="14087" max="14087" width="12.33203125" style="44" customWidth="1"/>
    <col min="14088" max="14089" width="12.6640625" style="44" customWidth="1"/>
    <col min="14090" max="14336" width="9.33203125" style="44"/>
    <col min="14337" max="14337" width="2.6640625" style="44" customWidth="1"/>
    <col min="14338" max="14338" width="35.5546875" style="44" customWidth="1"/>
    <col min="14339" max="14340" width="13.6640625" style="44" customWidth="1"/>
    <col min="14341" max="14341" width="11.5546875" style="44" customWidth="1"/>
    <col min="14342" max="14342" width="12.44140625" style="44" customWidth="1"/>
    <col min="14343" max="14343" width="12.33203125" style="44" customWidth="1"/>
    <col min="14344" max="14345" width="12.6640625" style="44" customWidth="1"/>
    <col min="14346" max="14592" width="9.33203125" style="44"/>
    <col min="14593" max="14593" width="2.6640625" style="44" customWidth="1"/>
    <col min="14594" max="14594" width="35.5546875" style="44" customWidth="1"/>
    <col min="14595" max="14596" width="13.6640625" style="44" customWidth="1"/>
    <col min="14597" max="14597" width="11.5546875" style="44" customWidth="1"/>
    <col min="14598" max="14598" width="12.44140625" style="44" customWidth="1"/>
    <col min="14599" max="14599" width="12.33203125" style="44" customWidth="1"/>
    <col min="14600" max="14601" width="12.6640625" style="44" customWidth="1"/>
    <col min="14602" max="14848" width="9.33203125" style="44"/>
    <col min="14849" max="14849" width="2.6640625" style="44" customWidth="1"/>
    <col min="14850" max="14850" width="35.5546875" style="44" customWidth="1"/>
    <col min="14851" max="14852" width="13.6640625" style="44" customWidth="1"/>
    <col min="14853" max="14853" width="11.5546875" style="44" customWidth="1"/>
    <col min="14854" max="14854" width="12.44140625" style="44" customWidth="1"/>
    <col min="14855" max="14855" width="12.33203125" style="44" customWidth="1"/>
    <col min="14856" max="14857" width="12.6640625" style="44" customWidth="1"/>
    <col min="14858" max="15104" width="9.33203125" style="44"/>
    <col min="15105" max="15105" width="2.6640625" style="44" customWidth="1"/>
    <col min="15106" max="15106" width="35.5546875" style="44" customWidth="1"/>
    <col min="15107" max="15108" width="13.6640625" style="44" customWidth="1"/>
    <col min="15109" max="15109" width="11.5546875" style="44" customWidth="1"/>
    <col min="15110" max="15110" width="12.44140625" style="44" customWidth="1"/>
    <col min="15111" max="15111" width="12.33203125" style="44" customWidth="1"/>
    <col min="15112" max="15113" width="12.6640625" style="44" customWidth="1"/>
    <col min="15114" max="15360" width="9.33203125" style="44"/>
    <col min="15361" max="15361" width="2.6640625" style="44" customWidth="1"/>
    <col min="15362" max="15362" width="35.5546875" style="44" customWidth="1"/>
    <col min="15363" max="15364" width="13.6640625" style="44" customWidth="1"/>
    <col min="15365" max="15365" width="11.5546875" style="44" customWidth="1"/>
    <col min="15366" max="15366" width="12.44140625" style="44" customWidth="1"/>
    <col min="15367" max="15367" width="12.33203125" style="44" customWidth="1"/>
    <col min="15368" max="15369" width="12.6640625" style="44" customWidth="1"/>
    <col min="15370" max="15616" width="9.33203125" style="44"/>
    <col min="15617" max="15617" width="2.6640625" style="44" customWidth="1"/>
    <col min="15618" max="15618" width="35.5546875" style="44" customWidth="1"/>
    <col min="15619" max="15620" width="13.6640625" style="44" customWidth="1"/>
    <col min="15621" max="15621" width="11.5546875" style="44" customWidth="1"/>
    <col min="15622" max="15622" width="12.44140625" style="44" customWidth="1"/>
    <col min="15623" max="15623" width="12.33203125" style="44" customWidth="1"/>
    <col min="15624" max="15625" width="12.6640625" style="44" customWidth="1"/>
    <col min="15626" max="15872" width="9.33203125" style="44"/>
    <col min="15873" max="15873" width="2.6640625" style="44" customWidth="1"/>
    <col min="15874" max="15874" width="35.5546875" style="44" customWidth="1"/>
    <col min="15875" max="15876" width="13.6640625" style="44" customWidth="1"/>
    <col min="15877" max="15877" width="11.5546875" style="44" customWidth="1"/>
    <col min="15878" max="15878" width="12.44140625" style="44" customWidth="1"/>
    <col min="15879" max="15879" width="12.33203125" style="44" customWidth="1"/>
    <col min="15880" max="15881" width="12.6640625" style="44" customWidth="1"/>
    <col min="15882" max="16128" width="9.33203125" style="44"/>
    <col min="16129" max="16129" width="2.6640625" style="44" customWidth="1"/>
    <col min="16130" max="16130" width="35.5546875" style="44" customWidth="1"/>
    <col min="16131" max="16132" width="13.6640625" style="44" customWidth="1"/>
    <col min="16133" max="16133" width="11.5546875" style="44" customWidth="1"/>
    <col min="16134" max="16134" width="12.44140625" style="44" customWidth="1"/>
    <col min="16135" max="16135" width="12.33203125" style="44" customWidth="1"/>
    <col min="16136" max="16137" width="12.6640625" style="44" customWidth="1"/>
    <col min="16138" max="16384" width="9.33203125" style="44"/>
  </cols>
  <sheetData>
    <row r="1" spans="2:9" x14ac:dyDescent="0.2">
      <c r="B1" s="178"/>
    </row>
    <row r="3" spans="2:9" ht="13.2" x14ac:dyDescent="0.25">
      <c r="B3" s="399" t="s">
        <v>1073</v>
      </c>
    </row>
    <row r="4" spans="2:9" x14ac:dyDescent="0.2">
      <c r="C4" s="793"/>
      <c r="D4" s="793"/>
      <c r="E4" s="793"/>
    </row>
    <row r="5" spans="2:9" ht="22.5" customHeight="1" x14ac:dyDescent="0.2">
      <c r="B5" s="806" t="s">
        <v>921</v>
      </c>
      <c r="C5" s="806"/>
      <c r="D5" s="420"/>
      <c r="E5" s="420"/>
    </row>
    <row r="7" spans="2:9" ht="48.75" customHeight="1" x14ac:dyDescent="0.2">
      <c r="B7" s="146" t="s">
        <v>268</v>
      </c>
      <c r="C7" s="418" t="s">
        <v>78</v>
      </c>
      <c r="D7" s="418" t="s">
        <v>79</v>
      </c>
      <c r="E7" s="418" t="s">
        <v>450</v>
      </c>
      <c r="F7" s="71" t="s">
        <v>267</v>
      </c>
      <c r="G7" s="418" t="s">
        <v>80</v>
      </c>
      <c r="H7" s="418" t="s">
        <v>81</v>
      </c>
      <c r="I7" s="101" t="s">
        <v>264</v>
      </c>
    </row>
    <row r="8" spans="2:9" x14ac:dyDescent="0.2">
      <c r="B8" s="535" t="s">
        <v>606</v>
      </c>
      <c r="C8" s="642" t="s">
        <v>607</v>
      </c>
      <c r="D8" s="642"/>
      <c r="E8" s="536">
        <v>2000000</v>
      </c>
      <c r="F8" s="643">
        <v>0.1</v>
      </c>
      <c r="G8" s="536">
        <f>E8*F8</f>
        <v>200000</v>
      </c>
      <c r="H8" s="596"/>
      <c r="I8" s="644"/>
    </row>
    <row r="9" spans="2:9" x14ac:dyDescent="0.2">
      <c r="B9" s="535" t="s">
        <v>608</v>
      </c>
      <c r="C9" s="642" t="s">
        <v>607</v>
      </c>
      <c r="D9" s="645"/>
      <c r="E9" s="536">
        <v>215500</v>
      </c>
      <c r="F9" s="643">
        <v>0.1</v>
      </c>
      <c r="G9" s="536">
        <f t="shared" ref="G9:G13" si="0">E9*F9</f>
        <v>21550</v>
      </c>
      <c r="H9" s="596"/>
      <c r="I9" s="644"/>
    </row>
    <row r="10" spans="2:9" s="575" customFormat="1" x14ac:dyDescent="0.2">
      <c r="B10" s="535" t="s">
        <v>655</v>
      </c>
      <c r="C10" s="642" t="s">
        <v>607</v>
      </c>
      <c r="D10" s="646"/>
      <c r="E10" s="536">
        <v>31741</v>
      </c>
      <c r="F10" s="643">
        <v>0.1</v>
      </c>
      <c r="G10" s="536">
        <f t="shared" si="0"/>
        <v>3174.1000000000004</v>
      </c>
      <c r="H10" s="596"/>
      <c r="I10" s="644"/>
    </row>
    <row r="11" spans="2:9" s="575" customFormat="1" x14ac:dyDescent="0.2">
      <c r="B11" s="535" t="s">
        <v>656</v>
      </c>
      <c r="C11" s="642" t="s">
        <v>607</v>
      </c>
      <c r="D11" s="646"/>
      <c r="E11" s="536">
        <v>44310</v>
      </c>
      <c r="F11" s="643">
        <v>0.1</v>
      </c>
      <c r="G11" s="536">
        <f t="shared" si="0"/>
        <v>4431</v>
      </c>
      <c r="H11" s="596"/>
      <c r="I11" s="644"/>
    </row>
    <row r="12" spans="2:9" x14ac:dyDescent="0.2">
      <c r="B12" s="535" t="s">
        <v>823</v>
      </c>
      <c r="C12" s="642" t="s">
        <v>607</v>
      </c>
      <c r="D12" s="646"/>
      <c r="E12" s="536">
        <v>81440</v>
      </c>
      <c r="F12" s="643">
        <v>0.1</v>
      </c>
      <c r="G12" s="536">
        <f t="shared" si="0"/>
        <v>8144</v>
      </c>
      <c r="H12" s="596"/>
      <c r="I12" s="644"/>
    </row>
    <row r="13" spans="2:9" x14ac:dyDescent="0.2">
      <c r="B13" s="535" t="s">
        <v>824</v>
      </c>
      <c r="C13" s="642" t="s">
        <v>607</v>
      </c>
      <c r="D13" s="646"/>
      <c r="E13" s="536">
        <v>112784</v>
      </c>
      <c r="F13" s="643">
        <v>0.1</v>
      </c>
      <c r="G13" s="536">
        <f t="shared" si="0"/>
        <v>11278.400000000001</v>
      </c>
      <c r="H13" s="596"/>
      <c r="I13" s="644"/>
    </row>
    <row r="14" spans="2:9" x14ac:dyDescent="0.2">
      <c r="C14" s="10"/>
      <c r="D14" s="147"/>
      <c r="E14" s="151"/>
      <c r="G14" s="317"/>
      <c r="H14" s="10"/>
    </row>
    <row r="15" spans="2:9" x14ac:dyDescent="0.2">
      <c r="B15" s="7"/>
      <c r="C15" s="7"/>
      <c r="D15" s="7"/>
      <c r="E15" s="7"/>
      <c r="F15" s="7"/>
      <c r="G15" s="10"/>
    </row>
    <row r="16" spans="2:9" x14ac:dyDescent="0.2">
      <c r="B16" s="11" t="s">
        <v>199</v>
      </c>
      <c r="C16" s="11"/>
      <c r="D16" s="11"/>
      <c r="E16" s="11"/>
      <c r="F16" s="11"/>
    </row>
    <row r="17" spans="2:9" x14ac:dyDescent="0.2">
      <c r="B17" s="11"/>
      <c r="C17" s="11"/>
      <c r="D17" s="11"/>
      <c r="E17" s="11"/>
      <c r="F17" s="11"/>
    </row>
    <row r="18" spans="2:9" ht="20.399999999999999" x14ac:dyDescent="0.2">
      <c r="B18" s="146" t="s">
        <v>77</v>
      </c>
      <c r="C18" s="418" t="s">
        <v>450</v>
      </c>
      <c r="D18" s="418" t="s">
        <v>82</v>
      </c>
      <c r="E18" s="418" t="s">
        <v>83</v>
      </c>
      <c r="F18" s="418" t="s">
        <v>84</v>
      </c>
    </row>
    <row r="19" spans="2:9" x14ac:dyDescent="0.2">
      <c r="B19" s="535" t="s">
        <v>712</v>
      </c>
      <c r="C19" s="667">
        <v>1504071</v>
      </c>
      <c r="D19" s="668">
        <v>0.60509999999999997</v>
      </c>
      <c r="E19" s="667">
        <v>1504071</v>
      </c>
      <c r="F19" s="668">
        <v>0.60509999999999997</v>
      </c>
    </row>
    <row r="20" spans="2:9" x14ac:dyDescent="0.2">
      <c r="B20" s="535" t="s">
        <v>922</v>
      </c>
      <c r="C20" s="667">
        <v>414720</v>
      </c>
      <c r="D20" s="668">
        <v>0.1668</v>
      </c>
      <c r="E20" s="667">
        <v>414720</v>
      </c>
      <c r="F20" s="668">
        <v>0.1668</v>
      </c>
    </row>
    <row r="21" spans="2:9" x14ac:dyDescent="0.2">
      <c r="B21" s="535" t="s">
        <v>923</v>
      </c>
      <c r="C21" s="667">
        <v>135580</v>
      </c>
      <c r="D21" s="668">
        <v>5.45E-2</v>
      </c>
      <c r="E21" s="667">
        <v>135580</v>
      </c>
      <c r="F21" s="668">
        <v>5.45E-2</v>
      </c>
    </row>
    <row r="22" spans="2:9" x14ac:dyDescent="0.2">
      <c r="B22" s="535" t="s">
        <v>71</v>
      </c>
      <c r="C22" s="667">
        <v>431404</v>
      </c>
      <c r="D22" s="668">
        <v>0.1736</v>
      </c>
      <c r="E22" s="667">
        <v>431404</v>
      </c>
      <c r="F22" s="668">
        <v>0.1736</v>
      </c>
    </row>
    <row r="23" spans="2:9" hidden="1" x14ac:dyDescent="0.2">
      <c r="B23" s="368"/>
      <c r="C23" s="163"/>
      <c r="D23" s="537">
        <f t="shared" ref="D23:D24" si="1">C23/$C$25</f>
        <v>0</v>
      </c>
      <c r="E23" s="163"/>
      <c r="F23" s="478"/>
    </row>
    <row r="24" spans="2:9" hidden="1" x14ac:dyDescent="0.2">
      <c r="B24" s="368"/>
      <c r="C24" s="163"/>
      <c r="D24" s="537">
        <f t="shared" si="1"/>
        <v>0</v>
      </c>
      <c r="E24" s="163"/>
      <c r="F24" s="478"/>
    </row>
    <row r="25" spans="2:9" x14ac:dyDescent="0.2">
      <c r="B25" s="53" t="s">
        <v>27</v>
      </c>
      <c r="C25" s="90">
        <f>SUM(C19:C24)</f>
        <v>2485775</v>
      </c>
      <c r="D25" s="473">
        <f>SUM(D19:D24)</f>
        <v>1</v>
      </c>
      <c r="E25" s="90">
        <f>SUM(E19:E24)</f>
        <v>2485775</v>
      </c>
      <c r="F25" s="473">
        <f>SUM(F19:F24)</f>
        <v>1</v>
      </c>
    </row>
    <row r="26" spans="2:9" s="575" customFormat="1" x14ac:dyDescent="0.2">
      <c r="B26" s="577"/>
      <c r="C26" s="578"/>
      <c r="D26" s="579"/>
      <c r="E26" s="578"/>
      <c r="F26" s="579"/>
    </row>
    <row r="27" spans="2:9" x14ac:dyDescent="0.2">
      <c r="B27" s="9" t="s">
        <v>781</v>
      </c>
      <c r="C27" s="420"/>
      <c r="D27" s="420"/>
      <c r="E27" s="420"/>
    </row>
    <row r="29" spans="2:9" ht="48.75" customHeight="1" x14ac:dyDescent="0.2">
      <c r="B29" s="146" t="s">
        <v>268</v>
      </c>
      <c r="C29" s="418" t="s">
        <v>78</v>
      </c>
      <c r="D29" s="418" t="s">
        <v>79</v>
      </c>
      <c r="E29" s="418" t="s">
        <v>450</v>
      </c>
      <c r="F29" s="71" t="s">
        <v>267</v>
      </c>
      <c r="G29" s="418" t="s">
        <v>80</v>
      </c>
      <c r="H29" s="418" t="s">
        <v>81</v>
      </c>
      <c r="I29" s="101" t="s">
        <v>264</v>
      </c>
    </row>
    <row r="30" spans="2:9" x14ac:dyDescent="0.2">
      <c r="B30" s="535" t="s">
        <v>606</v>
      </c>
      <c r="C30" s="642" t="s">
        <v>607</v>
      </c>
      <c r="D30" s="642"/>
      <c r="E30" s="536">
        <v>2000000</v>
      </c>
      <c r="F30" s="643">
        <v>0.1</v>
      </c>
      <c r="G30" s="536">
        <f>E30*F30</f>
        <v>200000</v>
      </c>
      <c r="H30" s="596"/>
      <c r="I30" s="644"/>
    </row>
    <row r="31" spans="2:9" x14ac:dyDescent="0.2">
      <c r="B31" s="535" t="s">
        <v>608</v>
      </c>
      <c r="C31" s="642" t="s">
        <v>607</v>
      </c>
      <c r="D31" s="645"/>
      <c r="E31" s="536">
        <v>215500</v>
      </c>
      <c r="F31" s="643">
        <v>0.1</v>
      </c>
      <c r="G31" s="536">
        <f t="shared" ref="G31:G35" si="2">E31*F31</f>
        <v>21550</v>
      </c>
      <c r="H31" s="596"/>
      <c r="I31" s="644"/>
    </row>
    <row r="32" spans="2:9" x14ac:dyDescent="0.2">
      <c r="B32" s="535" t="s">
        <v>655</v>
      </c>
      <c r="C32" s="642" t="s">
        <v>607</v>
      </c>
      <c r="D32" s="646"/>
      <c r="E32" s="536">
        <v>31741</v>
      </c>
      <c r="F32" s="643">
        <v>0.1</v>
      </c>
      <c r="G32" s="536">
        <f t="shared" si="2"/>
        <v>3174.1000000000004</v>
      </c>
      <c r="H32" s="596"/>
      <c r="I32" s="644"/>
    </row>
    <row r="33" spans="2:9" x14ac:dyDescent="0.2">
      <c r="B33" s="535" t="s">
        <v>656</v>
      </c>
      <c r="C33" s="642" t="s">
        <v>607</v>
      </c>
      <c r="D33" s="646"/>
      <c r="E33" s="536">
        <v>44310</v>
      </c>
      <c r="F33" s="643">
        <v>0.1</v>
      </c>
      <c r="G33" s="536">
        <f t="shared" si="2"/>
        <v>4431</v>
      </c>
      <c r="H33" s="596"/>
      <c r="I33" s="644"/>
    </row>
    <row r="34" spans="2:9" x14ac:dyDescent="0.2">
      <c r="B34" s="535" t="s">
        <v>823</v>
      </c>
      <c r="C34" s="642" t="s">
        <v>607</v>
      </c>
      <c r="D34" s="646"/>
      <c r="E34" s="536">
        <v>81440</v>
      </c>
      <c r="F34" s="643">
        <v>0.1</v>
      </c>
      <c r="G34" s="536">
        <f t="shared" si="2"/>
        <v>8144</v>
      </c>
      <c r="H34" s="596"/>
      <c r="I34" s="644"/>
    </row>
    <row r="35" spans="2:9" x14ac:dyDescent="0.2">
      <c r="B35" s="535" t="s">
        <v>824</v>
      </c>
      <c r="C35" s="642" t="s">
        <v>607</v>
      </c>
      <c r="D35" s="646"/>
      <c r="E35" s="536">
        <v>112784</v>
      </c>
      <c r="F35" s="643">
        <v>0.1</v>
      </c>
      <c r="G35" s="536">
        <f t="shared" si="2"/>
        <v>11278.400000000001</v>
      </c>
      <c r="H35" s="596"/>
      <c r="I35" s="644"/>
    </row>
    <row r="36" spans="2:9" x14ac:dyDescent="0.2">
      <c r="C36" s="10"/>
      <c r="D36" s="147"/>
      <c r="E36" s="151"/>
      <c r="G36" s="317"/>
      <c r="H36" s="10"/>
    </row>
    <row r="37" spans="2:9" x14ac:dyDescent="0.2">
      <c r="B37" s="7"/>
      <c r="C37" s="7"/>
      <c r="D37" s="7"/>
      <c r="E37" s="7"/>
      <c r="F37" s="7"/>
      <c r="G37" s="10"/>
    </row>
    <row r="38" spans="2:9" x14ac:dyDescent="0.2">
      <c r="B38" s="11" t="s">
        <v>199</v>
      </c>
      <c r="C38" s="11"/>
      <c r="D38" s="11"/>
      <c r="E38" s="11"/>
      <c r="F38" s="11"/>
    </row>
    <row r="39" spans="2:9" x14ac:dyDescent="0.2">
      <c r="B39" s="11"/>
      <c r="C39" s="11"/>
      <c r="D39" s="11"/>
      <c r="E39" s="11"/>
      <c r="F39" s="11"/>
    </row>
    <row r="40" spans="2:9" ht="20.399999999999999" x14ac:dyDescent="0.2">
      <c r="B40" s="146" t="s">
        <v>77</v>
      </c>
      <c r="C40" s="418" t="s">
        <v>450</v>
      </c>
      <c r="D40" s="418" t="s">
        <v>82</v>
      </c>
      <c r="E40" s="418" t="s">
        <v>83</v>
      </c>
      <c r="F40" s="418" t="s">
        <v>84</v>
      </c>
    </row>
    <row r="41" spans="2:9" x14ac:dyDescent="0.2">
      <c r="B41" s="535" t="s">
        <v>712</v>
      </c>
      <c r="C41" s="536">
        <v>1504071</v>
      </c>
      <c r="D41" s="537">
        <v>0.60509999999999997</v>
      </c>
      <c r="E41" s="536">
        <v>1504071</v>
      </c>
      <c r="F41" s="537">
        <v>0.60509999999999997</v>
      </c>
    </row>
    <row r="42" spans="2:9" x14ac:dyDescent="0.2">
      <c r="B42" s="535" t="s">
        <v>943</v>
      </c>
      <c r="C42" s="536">
        <v>510000</v>
      </c>
      <c r="D42" s="537">
        <v>0.20519999999999999</v>
      </c>
      <c r="E42" s="536">
        <v>510000</v>
      </c>
      <c r="F42" s="537">
        <v>0.20519999999999999</v>
      </c>
    </row>
    <row r="43" spans="2:9" x14ac:dyDescent="0.2">
      <c r="B43" s="535" t="s">
        <v>71</v>
      </c>
      <c r="C43" s="536">
        <v>471704</v>
      </c>
      <c r="D43" s="537">
        <v>0.18970000000000001</v>
      </c>
      <c r="E43" s="536">
        <v>471704</v>
      </c>
      <c r="F43" s="537">
        <v>0.18970000000000001</v>
      </c>
    </row>
    <row r="44" spans="2:9" hidden="1" x14ac:dyDescent="0.2">
      <c r="B44" s="368"/>
      <c r="C44" s="163"/>
      <c r="D44" s="537">
        <f t="shared" ref="D44:D46" si="3">C44/$C$47</f>
        <v>0</v>
      </c>
      <c r="E44" s="163"/>
      <c r="F44" s="478"/>
    </row>
    <row r="45" spans="2:9" hidden="1" x14ac:dyDescent="0.2">
      <c r="B45" s="368"/>
      <c r="C45" s="163"/>
      <c r="D45" s="537">
        <f t="shared" si="3"/>
        <v>0</v>
      </c>
      <c r="E45" s="163"/>
      <c r="F45" s="478"/>
    </row>
    <row r="46" spans="2:9" hidden="1" x14ac:dyDescent="0.2">
      <c r="B46" s="368"/>
      <c r="C46" s="163"/>
      <c r="D46" s="537">
        <f t="shared" si="3"/>
        <v>0</v>
      </c>
      <c r="E46" s="163"/>
      <c r="F46" s="478"/>
    </row>
    <row r="47" spans="2:9" x14ac:dyDescent="0.2">
      <c r="B47" s="53" t="s">
        <v>27</v>
      </c>
      <c r="C47" s="90">
        <f>SUM(C41:C46)</f>
        <v>2485775</v>
      </c>
      <c r="D47" s="472">
        <f>C47/$C$47</f>
        <v>1</v>
      </c>
      <c r="E47" s="90">
        <f>SUM(E41:E46)</f>
        <v>2485775</v>
      </c>
      <c r="F47" s="472">
        <f>E47/$E$47</f>
        <v>1</v>
      </c>
    </row>
    <row r="49" spans="2:5" x14ac:dyDescent="0.2">
      <c r="B49" s="52" t="s">
        <v>200</v>
      </c>
    </row>
    <row r="51" spans="2:5" ht="20.399999999999999" x14ac:dyDescent="0.2">
      <c r="B51" s="474" t="s">
        <v>316</v>
      </c>
      <c r="C51" s="475" t="str">
        <f>'Dane podstawowe'!B7</f>
        <v>01.01.2020-31.12.2020</v>
      </c>
      <c r="D51" s="475" t="str">
        <f>'Dane podstawowe'!B12</f>
        <v>01.01.2019-31.12.2019</v>
      </c>
    </row>
    <row r="52" spans="2:5" x14ac:dyDescent="0.2">
      <c r="B52" s="57" t="s">
        <v>201</v>
      </c>
      <c r="C52" s="131">
        <f>D60</f>
        <v>248578</v>
      </c>
      <c r="D52" s="131">
        <v>229155</v>
      </c>
    </row>
    <row r="53" spans="2:5" s="88" customFormat="1" x14ac:dyDescent="0.2">
      <c r="B53" s="165" t="s">
        <v>723</v>
      </c>
      <c r="C53" s="236">
        <f>SUM(C54:C55)</f>
        <v>0</v>
      </c>
      <c r="D53" s="236">
        <f>SUM(D54:D55)</f>
        <v>19423</v>
      </c>
    </row>
    <row r="54" spans="2:5" x14ac:dyDescent="0.2">
      <c r="B54" s="598" t="s">
        <v>825</v>
      </c>
      <c r="C54" s="536">
        <v>0</v>
      </c>
      <c r="D54" s="163">
        <v>8144</v>
      </c>
    </row>
    <row r="55" spans="2:5" x14ac:dyDescent="0.2">
      <c r="B55" s="598" t="s">
        <v>826</v>
      </c>
      <c r="C55" s="536">
        <v>0</v>
      </c>
      <c r="D55" s="163">
        <v>11279</v>
      </c>
    </row>
    <row r="56" spans="2:5" s="88" customFormat="1" x14ac:dyDescent="0.2">
      <c r="B56" s="165" t="s">
        <v>724</v>
      </c>
      <c r="C56" s="236">
        <f>SUM(C57:C58)</f>
        <v>0</v>
      </c>
      <c r="D56" s="236">
        <f>SUM(D57:D58)</f>
        <v>0</v>
      </c>
    </row>
    <row r="57" spans="2:5" hidden="1" x14ac:dyDescent="0.2">
      <c r="B57" s="145" t="s">
        <v>266</v>
      </c>
      <c r="C57" s="163"/>
      <c r="D57" s="163"/>
    </row>
    <row r="58" spans="2:5" hidden="1" x14ac:dyDescent="0.2">
      <c r="B58" s="145" t="s">
        <v>266</v>
      </c>
      <c r="C58" s="163"/>
      <c r="D58" s="163"/>
    </row>
    <row r="59" spans="2:5" hidden="1" x14ac:dyDescent="0.2">
      <c r="B59" s="210" t="s">
        <v>265</v>
      </c>
      <c r="C59" s="233"/>
      <c r="D59" s="233"/>
    </row>
    <row r="60" spans="2:5" x14ac:dyDescent="0.2">
      <c r="B60" s="62" t="s">
        <v>202</v>
      </c>
      <c r="C60" s="168">
        <f>SUM(C52:C53,-C56)</f>
        <v>248578</v>
      </c>
      <c r="D60" s="168">
        <f>SUM(D52:D53,-D56)</f>
        <v>248578</v>
      </c>
    </row>
    <row r="61" spans="2:5" x14ac:dyDescent="0.2">
      <c r="C61" s="370">
        <f>[7]Pasywa!D5-'[7]NOTA  29,30,31,32- Kapitały'!C78</f>
        <v>0</v>
      </c>
      <c r="D61" s="370">
        <f>[7]Pasywa!E5-'[7]NOTA  29,30,31,32- Kapitały'!D78</f>
        <v>0</v>
      </c>
    </row>
    <row r="63" spans="2:5" x14ac:dyDescent="0.2">
      <c r="E63" s="420"/>
    </row>
    <row r="64" spans="2:5" ht="13.2" x14ac:dyDescent="0.25">
      <c r="B64" s="399" t="s">
        <v>1074</v>
      </c>
      <c r="E64" s="420"/>
    </row>
    <row r="65" spans="2:7" x14ac:dyDescent="0.2">
      <c r="B65" s="52"/>
      <c r="E65" s="420"/>
    </row>
    <row r="66" spans="2:7" x14ac:dyDescent="0.2">
      <c r="B66" s="148"/>
      <c r="C66" s="435">
        <f>'Dane podstawowe'!B9</f>
        <v>44196</v>
      </c>
      <c r="D66" s="435">
        <f>'Dane podstawowe'!B14</f>
        <v>43830</v>
      </c>
    </row>
    <row r="67" spans="2:7" x14ac:dyDescent="0.2">
      <c r="B67" s="46" t="s">
        <v>4</v>
      </c>
      <c r="C67" s="77">
        <v>15538561</v>
      </c>
      <c r="D67" s="77">
        <v>15524909</v>
      </c>
    </row>
    <row r="68" spans="2:7" x14ac:dyDescent="0.2">
      <c r="B68" s="113" t="s">
        <v>269</v>
      </c>
      <c r="C68" s="77">
        <v>9105011</v>
      </c>
      <c r="D68" s="77">
        <v>9105011</v>
      </c>
    </row>
    <row r="69" spans="2:7" x14ac:dyDescent="0.2">
      <c r="B69" s="113" t="s">
        <v>270</v>
      </c>
      <c r="C69" s="77">
        <v>3534947</v>
      </c>
      <c r="D69" s="77">
        <v>3534947</v>
      </c>
      <c r="G69" s="370"/>
    </row>
    <row r="70" spans="2:7" x14ac:dyDescent="0.2">
      <c r="B70" s="113" t="s">
        <v>179</v>
      </c>
      <c r="C70" s="77">
        <v>0</v>
      </c>
      <c r="D70" s="77">
        <v>0</v>
      </c>
    </row>
    <row r="71" spans="2:7" x14ac:dyDescent="0.2">
      <c r="B71" s="40" t="s">
        <v>508</v>
      </c>
      <c r="C71" s="45">
        <f>SUM(C67:C70)</f>
        <v>28178519</v>
      </c>
      <c r="D71" s="45">
        <f>SUM(D67:D70)</f>
        <v>28164867</v>
      </c>
    </row>
    <row r="72" spans="2:7" x14ac:dyDescent="0.2">
      <c r="B72" s="54"/>
      <c r="C72" s="382"/>
      <c r="D72" s="382"/>
      <c r="E72" s="420"/>
    </row>
    <row r="73" spans="2:7" ht="10.5" customHeight="1" x14ac:dyDescent="0.2"/>
    <row r="74" spans="2:7" ht="30.6" x14ac:dyDescent="0.2">
      <c r="B74" s="109" t="s">
        <v>842</v>
      </c>
    </row>
    <row r="76" spans="2:7" ht="40.799999999999997" x14ac:dyDescent="0.2">
      <c r="B76" s="71" t="s">
        <v>316</v>
      </c>
      <c r="C76" s="71" t="s">
        <v>4</v>
      </c>
      <c r="D76" s="71" t="s">
        <v>269</v>
      </c>
      <c r="E76" s="71" t="s">
        <v>271</v>
      </c>
      <c r="F76" s="71" t="s">
        <v>840</v>
      </c>
      <c r="G76" s="71" t="s">
        <v>27</v>
      </c>
    </row>
    <row r="77" spans="2:7" x14ac:dyDescent="0.2">
      <c r="B77" s="444">
        <v>43831</v>
      </c>
      <c r="C77" s="131">
        <f>C118</f>
        <v>15524909</v>
      </c>
      <c r="D77" s="131">
        <f>D118</f>
        <v>9105011</v>
      </c>
      <c r="E77" s="131">
        <f>E118</f>
        <v>3534947</v>
      </c>
      <c r="F77" s="131">
        <f>F118</f>
        <v>0</v>
      </c>
      <c r="G77" s="131">
        <f>SUM(C77:F77)</f>
        <v>28164867</v>
      </c>
    </row>
    <row r="78" spans="2:7" s="88" customFormat="1" x14ac:dyDescent="0.2">
      <c r="B78" s="165" t="s">
        <v>275</v>
      </c>
      <c r="C78" s="236">
        <f>SUM(C79:C86)</f>
        <v>0</v>
      </c>
      <c r="D78" s="236">
        <f>SUM(D79:D85)</f>
        <v>0</v>
      </c>
      <c r="E78" s="236">
        <f>SUM(E79:E85)</f>
        <v>0</v>
      </c>
      <c r="F78" s="236">
        <f>SUM(F79:F85)</f>
        <v>0</v>
      </c>
      <c r="G78" s="131">
        <f t="shared" ref="G78:G118" si="4">SUM(C78:F78)</f>
        <v>0</v>
      </c>
    </row>
    <row r="79" spans="2:7" hidden="1" x14ac:dyDescent="0.2">
      <c r="B79" s="89" t="s">
        <v>719</v>
      </c>
      <c r="C79" s="163">
        <v>0</v>
      </c>
      <c r="D79" s="163">
        <v>0</v>
      </c>
      <c r="E79" s="163">
        <v>0</v>
      </c>
      <c r="F79" s="163">
        <v>0</v>
      </c>
      <c r="G79" s="163">
        <f>SUM(C79:F79)</f>
        <v>0</v>
      </c>
    </row>
    <row r="80" spans="2:7" hidden="1" x14ac:dyDescent="0.2">
      <c r="B80" s="89" t="s">
        <v>721</v>
      </c>
      <c r="C80" s="163">
        <v>0</v>
      </c>
      <c r="D80" s="163">
        <v>0</v>
      </c>
      <c r="E80" s="163">
        <v>0</v>
      </c>
      <c r="F80" s="163">
        <v>0</v>
      </c>
      <c r="G80" s="163">
        <f t="shared" ref="G80:G81" si="5">SUM(C80:F80)</f>
        <v>0</v>
      </c>
    </row>
    <row r="81" spans="2:7" hidden="1" x14ac:dyDescent="0.2">
      <c r="B81" s="89" t="s">
        <v>138</v>
      </c>
      <c r="C81" s="163">
        <v>0</v>
      </c>
      <c r="D81" s="163">
        <v>0</v>
      </c>
      <c r="E81" s="163">
        <v>0</v>
      </c>
      <c r="F81" s="163">
        <v>0</v>
      </c>
      <c r="G81" s="163">
        <f t="shared" si="5"/>
        <v>0</v>
      </c>
    </row>
    <row r="82" spans="2:7" hidden="1" x14ac:dyDescent="0.2">
      <c r="B82" s="89" t="s">
        <v>827</v>
      </c>
      <c r="C82" s="163">
        <v>0</v>
      </c>
      <c r="D82" s="163">
        <v>0</v>
      </c>
      <c r="E82" s="163">
        <v>0</v>
      </c>
      <c r="F82" s="163">
        <v>0</v>
      </c>
      <c r="G82" s="163">
        <f t="shared" ref="G82:G86" si="6">SUM(C82:F82)</f>
        <v>0</v>
      </c>
    </row>
    <row r="83" spans="2:7" hidden="1" x14ac:dyDescent="0.2">
      <c r="B83" s="89" t="s">
        <v>272</v>
      </c>
      <c r="C83" s="163">
        <v>0</v>
      </c>
      <c r="D83" s="163">
        <v>0</v>
      </c>
      <c r="E83" s="163">
        <v>0</v>
      </c>
      <c r="F83" s="163">
        <v>0</v>
      </c>
      <c r="G83" s="163">
        <f t="shared" si="6"/>
        <v>0</v>
      </c>
    </row>
    <row r="84" spans="2:7" hidden="1" x14ac:dyDescent="0.2">
      <c r="B84" s="89" t="s">
        <v>274</v>
      </c>
      <c r="C84" s="163">
        <v>0</v>
      </c>
      <c r="D84" s="163">
        <v>0</v>
      </c>
      <c r="E84" s="207">
        <v>0</v>
      </c>
      <c r="F84" s="163">
        <v>0</v>
      </c>
      <c r="G84" s="163">
        <f t="shared" si="6"/>
        <v>0</v>
      </c>
    </row>
    <row r="85" spans="2:7" hidden="1" x14ac:dyDescent="0.2">
      <c r="B85" s="89" t="s">
        <v>416</v>
      </c>
      <c r="C85" s="163">
        <v>0</v>
      </c>
      <c r="D85" s="163">
        <v>0</v>
      </c>
      <c r="E85" s="207">
        <v>0</v>
      </c>
      <c r="F85" s="163">
        <v>0</v>
      </c>
      <c r="G85" s="163">
        <f t="shared" si="6"/>
        <v>0</v>
      </c>
    </row>
    <row r="86" spans="2:7" hidden="1" x14ac:dyDescent="0.2">
      <c r="B86" s="89" t="s">
        <v>594</v>
      </c>
      <c r="C86" s="163">
        <v>0</v>
      </c>
      <c r="D86" s="163">
        <v>0</v>
      </c>
      <c r="E86" s="207">
        <v>0</v>
      </c>
      <c r="F86" s="163">
        <v>0</v>
      </c>
      <c r="G86" s="163">
        <f t="shared" si="6"/>
        <v>0</v>
      </c>
    </row>
    <row r="87" spans="2:7" s="88" customFormat="1" x14ac:dyDescent="0.2">
      <c r="B87" s="165" t="s">
        <v>276</v>
      </c>
      <c r="C87" s="236">
        <f>SUM(C88:C96)</f>
        <v>0</v>
      </c>
      <c r="D87" s="236">
        <f>SUM(D88:D96)</f>
        <v>0</v>
      </c>
      <c r="E87" s="236">
        <f>SUM(E88:E96)</f>
        <v>0</v>
      </c>
      <c r="F87" s="236">
        <f>SUM(F88:F96)</f>
        <v>0</v>
      </c>
      <c r="G87" s="131">
        <f t="shared" si="4"/>
        <v>0</v>
      </c>
    </row>
    <row r="88" spans="2:7" hidden="1" x14ac:dyDescent="0.2">
      <c r="B88" s="89" t="s">
        <v>719</v>
      </c>
      <c r="C88" s="163">
        <v>0</v>
      </c>
      <c r="D88" s="163">
        <v>0</v>
      </c>
      <c r="E88" s="163">
        <v>0</v>
      </c>
      <c r="F88" s="163">
        <v>0</v>
      </c>
      <c r="G88" s="163">
        <f>SUM(C88:F88)</f>
        <v>0</v>
      </c>
    </row>
    <row r="89" spans="2:7" s="534" customFormat="1" hidden="1" x14ac:dyDescent="0.2">
      <c r="B89" s="89" t="s">
        <v>722</v>
      </c>
      <c r="C89" s="163">
        <v>0</v>
      </c>
      <c r="D89" s="163">
        <v>0</v>
      </c>
      <c r="E89" s="163">
        <v>0</v>
      </c>
      <c r="F89" s="163">
        <v>0</v>
      </c>
      <c r="G89" s="163">
        <f>SUM(C89:F89)</f>
        <v>0</v>
      </c>
    </row>
    <row r="90" spans="2:7" ht="20.399999999999999" hidden="1" x14ac:dyDescent="0.2">
      <c r="B90" s="89" t="s">
        <v>841</v>
      </c>
      <c r="C90" s="163">
        <v>0</v>
      </c>
      <c r="D90" s="163">
        <v>0</v>
      </c>
      <c r="E90" s="163">
        <v>0</v>
      </c>
      <c r="F90" s="163">
        <v>0</v>
      </c>
      <c r="G90" s="163">
        <f>SUM(C90:F90)</f>
        <v>0</v>
      </c>
    </row>
    <row r="91" spans="2:7" hidden="1" x14ac:dyDescent="0.2">
      <c r="B91" s="89" t="s">
        <v>272</v>
      </c>
      <c r="C91" s="163">
        <v>0</v>
      </c>
      <c r="D91" s="163">
        <v>0</v>
      </c>
      <c r="E91" s="163">
        <v>0</v>
      </c>
      <c r="F91" s="163">
        <v>0</v>
      </c>
      <c r="G91" s="163">
        <f t="shared" ref="G91:G96" si="7">SUM(C91:F91)</f>
        <v>0</v>
      </c>
    </row>
    <row r="92" spans="2:7" hidden="1" x14ac:dyDescent="0.2">
      <c r="B92" s="89" t="s">
        <v>419</v>
      </c>
      <c r="C92" s="163">
        <v>0</v>
      </c>
      <c r="D92" s="163">
        <v>0</v>
      </c>
      <c r="E92" s="163">
        <v>0</v>
      </c>
      <c r="F92" s="163">
        <v>0</v>
      </c>
      <c r="G92" s="163">
        <f t="shared" si="7"/>
        <v>0</v>
      </c>
    </row>
    <row r="93" spans="2:7" ht="15" hidden="1" customHeight="1" x14ac:dyDescent="0.2">
      <c r="B93" s="89" t="s">
        <v>273</v>
      </c>
      <c r="C93" s="163">
        <v>0</v>
      </c>
      <c r="D93" s="163">
        <v>0</v>
      </c>
      <c r="E93" s="163">
        <v>0</v>
      </c>
      <c r="F93" s="163">
        <v>0</v>
      </c>
      <c r="G93" s="163">
        <f t="shared" si="7"/>
        <v>0</v>
      </c>
    </row>
    <row r="94" spans="2:7" hidden="1" x14ac:dyDescent="0.2">
      <c r="B94" s="89" t="s">
        <v>272</v>
      </c>
      <c r="C94" s="163">
        <v>0</v>
      </c>
      <c r="D94" s="163">
        <v>0</v>
      </c>
      <c r="E94" s="163">
        <v>0</v>
      </c>
      <c r="F94" s="163">
        <v>0</v>
      </c>
      <c r="G94" s="163">
        <f t="shared" si="7"/>
        <v>0</v>
      </c>
    </row>
    <row r="95" spans="2:7" hidden="1" x14ac:dyDescent="0.2">
      <c r="B95" s="89" t="s">
        <v>274</v>
      </c>
      <c r="C95" s="163">
        <v>0</v>
      </c>
      <c r="D95" s="163">
        <v>0</v>
      </c>
      <c r="E95" s="163">
        <v>0</v>
      </c>
      <c r="F95" s="163">
        <v>0</v>
      </c>
      <c r="G95" s="163">
        <f t="shared" si="7"/>
        <v>0</v>
      </c>
    </row>
    <row r="96" spans="2:7" hidden="1" x14ac:dyDescent="0.2">
      <c r="B96" s="89" t="s">
        <v>416</v>
      </c>
      <c r="C96" s="163">
        <v>0</v>
      </c>
      <c r="D96" s="163">
        <v>0</v>
      </c>
      <c r="E96" s="163">
        <v>0</v>
      </c>
      <c r="F96" s="163">
        <v>0</v>
      </c>
      <c r="G96" s="163">
        <f t="shared" si="7"/>
        <v>0</v>
      </c>
    </row>
    <row r="97" spans="2:7" x14ac:dyDescent="0.2">
      <c r="B97" s="444">
        <v>44196</v>
      </c>
      <c r="C97" s="131">
        <f>C77+C78-C87</f>
        <v>15524909</v>
      </c>
      <c r="D97" s="131">
        <f>D77+D78-D87</f>
        <v>9105011</v>
      </c>
      <c r="E97" s="131">
        <f>E77+E78-E87</f>
        <v>3534947</v>
      </c>
      <c r="F97" s="131">
        <f>F77+F78-F87</f>
        <v>0</v>
      </c>
      <c r="G97" s="131">
        <f>G77+G78-G87</f>
        <v>28164867</v>
      </c>
    </row>
    <row r="98" spans="2:7" x14ac:dyDescent="0.2">
      <c r="B98" s="444">
        <v>43466</v>
      </c>
      <c r="C98" s="131">
        <v>9915597</v>
      </c>
      <c r="D98" s="131">
        <v>9105011</v>
      </c>
      <c r="E98" s="131">
        <v>5051178</v>
      </c>
      <c r="F98" s="131">
        <v>0</v>
      </c>
      <c r="G98" s="131">
        <f>SUM(C98:F98)</f>
        <v>24071786</v>
      </c>
    </row>
    <row r="99" spans="2:7" s="88" customFormat="1" x14ac:dyDescent="0.2">
      <c r="B99" s="165" t="s">
        <v>275</v>
      </c>
      <c r="C99" s="236">
        <f>SUM(C100:C107)</f>
        <v>5609312</v>
      </c>
      <c r="D99" s="236">
        <f>SUM(D100:D107)</f>
        <v>0</v>
      </c>
      <c r="E99" s="236">
        <f>SUM(E100:E107)</f>
        <v>0</v>
      </c>
      <c r="F99" s="236">
        <f>SUM(F100:F107)</f>
        <v>0</v>
      </c>
      <c r="G99" s="131">
        <f t="shared" si="4"/>
        <v>5609312</v>
      </c>
    </row>
    <row r="100" spans="2:7" x14ac:dyDescent="0.2">
      <c r="B100" s="89" t="s">
        <v>719</v>
      </c>
      <c r="C100" s="163">
        <v>1516231</v>
      </c>
      <c r="D100" s="163">
        <v>0</v>
      </c>
      <c r="E100" s="163">
        <v>0</v>
      </c>
      <c r="F100" s="163">
        <v>0</v>
      </c>
      <c r="G100" s="163">
        <f t="shared" si="4"/>
        <v>1516231</v>
      </c>
    </row>
    <row r="101" spans="2:7" x14ac:dyDescent="0.2">
      <c r="B101" s="89" t="s">
        <v>721</v>
      </c>
      <c r="C101" s="163">
        <v>1044010</v>
      </c>
      <c r="D101" s="163">
        <v>0</v>
      </c>
      <c r="E101" s="163">
        <v>0</v>
      </c>
      <c r="F101" s="163">
        <v>0</v>
      </c>
      <c r="G101" s="163">
        <f t="shared" si="4"/>
        <v>1044010</v>
      </c>
    </row>
    <row r="102" spans="2:7" x14ac:dyDescent="0.2">
      <c r="B102" s="89" t="s">
        <v>138</v>
      </c>
      <c r="C102" s="163">
        <v>2570718</v>
      </c>
      <c r="D102" s="163">
        <v>0</v>
      </c>
      <c r="E102" s="163">
        <v>0</v>
      </c>
      <c r="F102" s="163">
        <v>0</v>
      </c>
      <c r="G102" s="163">
        <f t="shared" si="4"/>
        <v>2570718</v>
      </c>
    </row>
    <row r="103" spans="2:7" ht="20.399999999999999" hidden="1" x14ac:dyDescent="0.2">
      <c r="B103" s="89" t="s">
        <v>273</v>
      </c>
      <c r="C103" s="163">
        <v>0</v>
      </c>
      <c r="D103" s="163">
        <v>0</v>
      </c>
      <c r="E103" s="163">
        <v>0</v>
      </c>
      <c r="F103" s="163">
        <v>0</v>
      </c>
      <c r="G103" s="163">
        <f t="shared" si="4"/>
        <v>0</v>
      </c>
    </row>
    <row r="104" spans="2:7" hidden="1" x14ac:dyDescent="0.2">
      <c r="B104" s="89" t="s">
        <v>272</v>
      </c>
      <c r="C104" s="163">
        <v>0</v>
      </c>
      <c r="D104" s="163">
        <v>0</v>
      </c>
      <c r="E104" s="163">
        <v>0</v>
      </c>
      <c r="F104" s="163">
        <v>0</v>
      </c>
      <c r="G104" s="163">
        <f t="shared" si="4"/>
        <v>0</v>
      </c>
    </row>
    <row r="105" spans="2:7" x14ac:dyDescent="0.2">
      <c r="B105" s="89" t="s">
        <v>274</v>
      </c>
      <c r="C105" s="163">
        <v>386616</v>
      </c>
      <c r="D105" s="163">
        <v>0</v>
      </c>
      <c r="E105" s="163">
        <v>0</v>
      </c>
      <c r="F105" s="163">
        <v>0</v>
      </c>
      <c r="G105" s="163">
        <f t="shared" si="4"/>
        <v>386616</v>
      </c>
    </row>
    <row r="106" spans="2:7" hidden="1" x14ac:dyDescent="0.2">
      <c r="B106" s="89" t="s">
        <v>416</v>
      </c>
      <c r="C106" s="163">
        <v>0</v>
      </c>
      <c r="D106" s="163">
        <v>0</v>
      </c>
      <c r="E106" s="163">
        <v>0</v>
      </c>
      <c r="F106" s="163">
        <v>0</v>
      </c>
      <c r="G106" s="163">
        <f t="shared" si="4"/>
        <v>0</v>
      </c>
    </row>
    <row r="107" spans="2:7" x14ac:dyDescent="0.2">
      <c r="B107" s="89" t="s">
        <v>594</v>
      </c>
      <c r="C107" s="163">
        <v>91737</v>
      </c>
      <c r="D107" s="163">
        <v>0</v>
      </c>
      <c r="E107" s="163">
        <v>0</v>
      </c>
      <c r="F107" s="163">
        <v>0</v>
      </c>
      <c r="G107" s="163">
        <f t="shared" si="4"/>
        <v>91737</v>
      </c>
    </row>
    <row r="108" spans="2:7" s="88" customFormat="1" x14ac:dyDescent="0.2">
      <c r="B108" s="165" t="s">
        <v>276</v>
      </c>
      <c r="C108" s="236">
        <f>SUM(C109:C117)</f>
        <v>0</v>
      </c>
      <c r="D108" s="236">
        <f>SUM(D109:D117)</f>
        <v>0</v>
      </c>
      <c r="E108" s="236">
        <f>SUM(E109:E117)</f>
        <v>1516231</v>
      </c>
      <c r="F108" s="236">
        <f>SUM(F109:F117)</f>
        <v>0</v>
      </c>
      <c r="G108" s="131">
        <f t="shared" si="4"/>
        <v>1516231</v>
      </c>
    </row>
    <row r="109" spans="2:7" x14ac:dyDescent="0.2">
      <c r="B109" s="89" t="s">
        <v>719</v>
      </c>
      <c r="C109" s="163">
        <v>0</v>
      </c>
      <c r="D109" s="163">
        <v>0</v>
      </c>
      <c r="E109" s="163">
        <v>1516231</v>
      </c>
      <c r="F109" s="163">
        <v>0</v>
      </c>
      <c r="G109" s="163">
        <f t="shared" si="4"/>
        <v>1516231</v>
      </c>
    </row>
    <row r="110" spans="2:7" hidden="1" x14ac:dyDescent="0.2">
      <c r="B110" s="89" t="s">
        <v>722</v>
      </c>
      <c r="C110" s="163"/>
      <c r="D110" s="163">
        <v>0</v>
      </c>
      <c r="E110" s="163">
        <v>0</v>
      </c>
      <c r="F110" s="163">
        <v>0</v>
      </c>
      <c r="G110" s="163"/>
    </row>
    <row r="111" spans="2:7" hidden="1" x14ac:dyDescent="0.2">
      <c r="B111" s="89" t="s">
        <v>594</v>
      </c>
      <c r="C111" s="163">
        <v>0</v>
      </c>
      <c r="D111" s="163">
        <v>0</v>
      </c>
      <c r="E111" s="163">
        <v>0</v>
      </c>
      <c r="F111" s="163">
        <v>0</v>
      </c>
      <c r="G111" s="163">
        <f t="shared" si="4"/>
        <v>0</v>
      </c>
    </row>
    <row r="112" spans="2:7" hidden="1" x14ac:dyDescent="0.2">
      <c r="B112" s="89" t="s">
        <v>272</v>
      </c>
      <c r="C112" s="163">
        <v>0</v>
      </c>
      <c r="D112" s="163">
        <v>0</v>
      </c>
      <c r="E112" s="163">
        <v>0</v>
      </c>
      <c r="F112" s="163">
        <v>0</v>
      </c>
      <c r="G112" s="163">
        <f t="shared" si="4"/>
        <v>0</v>
      </c>
    </row>
    <row r="113" spans="2:7" hidden="1" x14ac:dyDescent="0.2">
      <c r="B113" s="89" t="s">
        <v>419</v>
      </c>
      <c r="C113" s="163">
        <v>0</v>
      </c>
      <c r="D113" s="163">
        <v>0</v>
      </c>
      <c r="E113" s="163">
        <v>0</v>
      </c>
      <c r="F113" s="163">
        <v>0</v>
      </c>
      <c r="G113" s="163">
        <f t="shared" si="4"/>
        <v>0</v>
      </c>
    </row>
    <row r="114" spans="2:7" s="575" customFormat="1" ht="14.4" hidden="1" customHeight="1" x14ac:dyDescent="0.2">
      <c r="B114" s="89" t="s">
        <v>273</v>
      </c>
      <c r="C114" s="163">
        <v>0</v>
      </c>
      <c r="D114" s="163">
        <v>0</v>
      </c>
      <c r="E114" s="163">
        <v>0</v>
      </c>
      <c r="F114" s="163">
        <v>0</v>
      </c>
      <c r="G114" s="163">
        <f t="shared" si="4"/>
        <v>0</v>
      </c>
    </row>
    <row r="115" spans="2:7" hidden="1" x14ac:dyDescent="0.2">
      <c r="B115" s="89" t="s">
        <v>272</v>
      </c>
      <c r="C115" s="163">
        <v>0</v>
      </c>
      <c r="D115" s="163">
        <v>0</v>
      </c>
      <c r="E115" s="163">
        <v>0</v>
      </c>
      <c r="F115" s="163">
        <v>0</v>
      </c>
      <c r="G115" s="163">
        <f t="shared" si="4"/>
        <v>0</v>
      </c>
    </row>
    <row r="116" spans="2:7" hidden="1" x14ac:dyDescent="0.2">
      <c r="B116" s="89" t="s">
        <v>274</v>
      </c>
      <c r="C116" s="163">
        <v>0</v>
      </c>
      <c r="D116" s="163">
        <v>0</v>
      </c>
      <c r="E116" s="163">
        <v>0</v>
      </c>
      <c r="F116" s="163">
        <v>0</v>
      </c>
      <c r="G116" s="163">
        <f t="shared" si="4"/>
        <v>0</v>
      </c>
    </row>
    <row r="117" spans="2:7" hidden="1" x14ac:dyDescent="0.2">
      <c r="B117" s="89" t="s">
        <v>416</v>
      </c>
      <c r="C117" s="163">
        <v>0</v>
      </c>
      <c r="D117" s="163">
        <v>0</v>
      </c>
      <c r="E117" s="207">
        <v>0</v>
      </c>
      <c r="F117" s="163">
        <v>0</v>
      </c>
      <c r="G117" s="163">
        <f t="shared" si="4"/>
        <v>0</v>
      </c>
    </row>
    <row r="118" spans="2:7" x14ac:dyDescent="0.2">
      <c r="B118" s="444">
        <v>43830</v>
      </c>
      <c r="C118" s="131">
        <f>C98+C99-C108</f>
        <v>15524909</v>
      </c>
      <c r="D118" s="131">
        <f>D98+D99-D108</f>
        <v>9105011</v>
      </c>
      <c r="E118" s="131">
        <f>E98+E99-E108</f>
        <v>3534947</v>
      </c>
      <c r="F118" s="131">
        <f>F98+F99-F108</f>
        <v>0</v>
      </c>
      <c r="G118" s="131">
        <f t="shared" si="4"/>
        <v>28164867</v>
      </c>
    </row>
    <row r="119" spans="2:7" x14ac:dyDescent="0.2">
      <c r="E119" s="445">
        <v>43830</v>
      </c>
      <c r="F119" s="649"/>
      <c r="G119" s="314">
        <f>Pasywa!D7+Pasywa!D8-G97</f>
        <v>0</v>
      </c>
    </row>
    <row r="120" spans="2:7" x14ac:dyDescent="0.2">
      <c r="E120" s="445">
        <v>43465</v>
      </c>
      <c r="F120" s="649"/>
      <c r="G120" s="314">
        <f>Pasywa!E7+Pasywa!E8-G118</f>
        <v>0</v>
      </c>
    </row>
    <row r="122" spans="2:7" ht="13.2" x14ac:dyDescent="0.25">
      <c r="B122" s="399" t="s">
        <v>1075</v>
      </c>
    </row>
    <row r="124" spans="2:7" x14ac:dyDescent="0.2">
      <c r="B124" s="128" t="s">
        <v>316</v>
      </c>
      <c r="C124" s="435">
        <f>C66</f>
        <v>44196</v>
      </c>
      <c r="D124" s="435">
        <f>D66</f>
        <v>43830</v>
      </c>
    </row>
    <row r="125" spans="2:7" x14ac:dyDescent="0.2">
      <c r="B125" s="50" t="s">
        <v>180</v>
      </c>
      <c r="C125" s="91">
        <v>38351</v>
      </c>
      <c r="D125" s="91">
        <v>1133956</v>
      </c>
    </row>
    <row r="126" spans="2:7" hidden="1" x14ac:dyDescent="0.2">
      <c r="B126" s="113" t="s">
        <v>181</v>
      </c>
      <c r="C126" s="479">
        <v>0</v>
      </c>
      <c r="D126" s="325">
        <v>0</v>
      </c>
    </row>
    <row r="127" spans="2:7" s="711" customFormat="1" x14ac:dyDescent="0.2">
      <c r="B127" s="113" t="s">
        <v>960</v>
      </c>
      <c r="C127" s="479">
        <v>83817</v>
      </c>
      <c r="D127" s="325">
        <v>0</v>
      </c>
    </row>
    <row r="128" spans="2:7" hidden="1" x14ac:dyDescent="0.2">
      <c r="B128" s="113" t="s">
        <v>182</v>
      </c>
      <c r="C128" s="479">
        <v>0</v>
      </c>
      <c r="D128" s="325">
        <v>0</v>
      </c>
    </row>
    <row r="129" spans="2:4" ht="20.399999999999999" x14ac:dyDescent="0.2">
      <c r="B129" s="46" t="s">
        <v>183</v>
      </c>
      <c r="C129" s="479">
        <v>38161</v>
      </c>
      <c r="D129" s="325">
        <v>-1044010</v>
      </c>
    </row>
    <row r="130" spans="2:4" x14ac:dyDescent="0.2">
      <c r="B130" s="113" t="s">
        <v>184</v>
      </c>
      <c r="C130" s="479">
        <v>-27929</v>
      </c>
      <c r="D130" s="325">
        <v>-51595</v>
      </c>
    </row>
    <row r="131" spans="2:4" x14ac:dyDescent="0.2">
      <c r="B131" s="40" t="s">
        <v>185</v>
      </c>
      <c r="C131" s="91">
        <f>SUM(C125:C130)</f>
        <v>132400</v>
      </c>
      <c r="D131" s="91">
        <f>SUM(D125:D130)</f>
        <v>38351</v>
      </c>
    </row>
    <row r="132" spans="2:4" x14ac:dyDescent="0.2">
      <c r="C132" s="314">
        <f>Pasywa!D11-C131</f>
        <v>0</v>
      </c>
      <c r="D132" s="314">
        <f>Pasywa!E11-D131</f>
        <v>0</v>
      </c>
    </row>
  </sheetData>
  <mergeCells count="2">
    <mergeCell ref="C4:E4"/>
    <mergeCell ref="B5:C5"/>
  </mergeCells>
  <phoneticPr fontId="31" type="noConversion"/>
  <pageMargins left="0.75" right="0.75" top="1" bottom="1" header="0.5" footer="0.5"/>
  <pageSetup paperSize="9" scale="60" fitToHeight="2" orientation="portrait" r:id="rId1"/>
  <headerFooter alignWithMargins="0"/>
  <rowBreaks count="1" manualBreakCount="1">
    <brk id="73" min="1" max="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71"/>
  <sheetViews>
    <sheetView showGridLines="0" view="pageBreakPreview" topLeftCell="A50" zoomScaleNormal="100" zoomScaleSheetLayoutView="100" workbookViewId="0">
      <selection activeCell="A57" sqref="A57:XFD87"/>
    </sheetView>
  </sheetViews>
  <sheetFormatPr defaultColWidth="9.33203125" defaultRowHeight="13.2" x14ac:dyDescent="0.25"/>
  <cols>
    <col min="1" max="1" width="41.44140625" customWidth="1"/>
    <col min="2" max="2" width="12.5546875" customWidth="1"/>
    <col min="3" max="4" width="13" customWidth="1"/>
    <col min="5" max="5" width="12.6640625" customWidth="1"/>
    <col min="6" max="6" width="16.6640625" customWidth="1"/>
  </cols>
  <sheetData>
    <row r="1" spans="1:10" x14ac:dyDescent="0.25">
      <c r="A1" s="38"/>
    </row>
    <row r="2" spans="1:10" s="44" customFormat="1" x14ac:dyDescent="0.25">
      <c r="A2" s="399" t="s">
        <v>1076</v>
      </c>
    </row>
    <row r="3" spans="1:10" s="44" customFormat="1" ht="10.199999999999999" x14ac:dyDescent="0.2">
      <c r="A3" s="422"/>
      <c r="B3" s="422"/>
      <c r="C3" s="422"/>
      <c r="D3" s="422"/>
      <c r="E3" s="422"/>
      <c r="F3" s="422"/>
      <c r="G3" s="422"/>
      <c r="H3" s="144"/>
      <c r="I3" s="144"/>
      <c r="J3" s="144"/>
    </row>
    <row r="4" spans="1:10" s="44" customFormat="1" ht="10.199999999999999" x14ac:dyDescent="0.2"/>
    <row r="5" spans="1:10" s="6" customFormat="1" ht="10.199999999999999" x14ac:dyDescent="0.2">
      <c r="A5" s="128" t="s">
        <v>316</v>
      </c>
      <c r="B5" s="435">
        <f>Aktywa!D2</f>
        <v>44196</v>
      </c>
      <c r="C5" s="435">
        <v>43830</v>
      </c>
      <c r="D5" s="44"/>
    </row>
    <row r="6" spans="1:10" s="44" customFormat="1" ht="10.199999999999999" x14ac:dyDescent="0.2">
      <c r="A6" s="89" t="s">
        <v>277</v>
      </c>
      <c r="B6" s="163">
        <v>982160</v>
      </c>
      <c r="C6" s="163">
        <v>1591420</v>
      </c>
      <c r="F6" s="370"/>
    </row>
    <row r="7" spans="1:10" s="44" customFormat="1" ht="10.199999999999999" x14ac:dyDescent="0.2">
      <c r="A7" s="89" t="s">
        <v>278</v>
      </c>
      <c r="B7" s="163">
        <f>648000+57000</f>
        <v>705000</v>
      </c>
      <c r="C7" s="163">
        <v>1353000</v>
      </c>
    </row>
    <row r="8" spans="1:10" s="44" customFormat="1" ht="10.199999999999999" x14ac:dyDescent="0.2">
      <c r="A8" s="89" t="s">
        <v>85</v>
      </c>
      <c r="B8" s="163">
        <f>SUM(B9:B10)</f>
        <v>1523718</v>
      </c>
      <c r="C8" s="163">
        <f>SUM(C9:C10)</f>
        <v>0</v>
      </c>
      <c r="F8" s="52"/>
    </row>
    <row r="9" spans="1:10" s="682" customFormat="1" ht="10.199999999999999" x14ac:dyDescent="0.2">
      <c r="A9" s="398" t="s">
        <v>931</v>
      </c>
      <c r="B9" s="163">
        <v>1523718</v>
      </c>
      <c r="C9" s="163">
        <v>0</v>
      </c>
      <c r="F9" s="52"/>
    </row>
    <row r="10" spans="1:10" s="44" customFormat="1" ht="10.199999999999999" x14ac:dyDescent="0.2">
      <c r="A10" s="383" t="s">
        <v>246</v>
      </c>
      <c r="B10" s="163">
        <v>0</v>
      </c>
      <c r="C10" s="163">
        <v>0</v>
      </c>
    </row>
    <row r="11" spans="1:10" s="44" customFormat="1" ht="10.199999999999999" x14ac:dyDescent="0.2">
      <c r="A11" s="383" t="s">
        <v>602</v>
      </c>
      <c r="B11" s="163">
        <v>12306</v>
      </c>
      <c r="C11" s="163">
        <v>11040</v>
      </c>
    </row>
    <row r="12" spans="1:10" s="44" customFormat="1" ht="10.199999999999999" hidden="1" x14ac:dyDescent="0.2">
      <c r="A12" s="383" t="s">
        <v>266</v>
      </c>
      <c r="B12" s="163"/>
      <c r="C12" s="163"/>
    </row>
    <row r="13" spans="1:10" s="44" customFormat="1" ht="10.199999999999999" hidden="1" x14ac:dyDescent="0.2">
      <c r="A13" s="383" t="s">
        <v>266</v>
      </c>
      <c r="B13" s="163"/>
      <c r="C13" s="163"/>
    </row>
    <row r="14" spans="1:10" s="44" customFormat="1" ht="10.199999999999999" x14ac:dyDescent="0.2">
      <c r="A14" s="57" t="s">
        <v>279</v>
      </c>
      <c r="B14" s="131">
        <f>SUM(B6:B13)-B10-B9</f>
        <v>3223184</v>
      </c>
      <c r="C14" s="131">
        <f>SUM(C6:C13)-C10-C9</f>
        <v>2955460</v>
      </c>
    </row>
    <row r="15" spans="1:10" s="44" customFormat="1" ht="10.199999999999999" x14ac:dyDescent="0.2">
      <c r="A15" s="398" t="s">
        <v>86</v>
      </c>
      <c r="B15" s="163">
        <v>1216405</v>
      </c>
      <c r="C15" s="163">
        <v>705000</v>
      </c>
    </row>
    <row r="16" spans="1:10" s="44" customFormat="1" ht="10.199999999999999" x14ac:dyDescent="0.2">
      <c r="A16" s="398" t="s">
        <v>87</v>
      </c>
      <c r="B16" s="163">
        <v>2006779</v>
      </c>
      <c r="C16" s="163">
        <v>2250460</v>
      </c>
    </row>
    <row r="17" spans="1:3" s="44" customFormat="1" ht="10.199999999999999" x14ac:dyDescent="0.2">
      <c r="B17" s="314">
        <f>B14-Pasywa!D13-Pasywa!D21</f>
        <v>0</v>
      </c>
      <c r="C17" s="314">
        <f>C14-Pasywa!E13-Pasywa!E21</f>
        <v>0</v>
      </c>
    </row>
    <row r="18" spans="1:3" s="749" customFormat="1" ht="10.199999999999999" x14ac:dyDescent="0.2"/>
    <row r="19" spans="1:3" s="749" customFormat="1" ht="10.199999999999999" x14ac:dyDescent="0.2"/>
    <row r="20" spans="1:3" s="749" customFormat="1" ht="10.199999999999999" x14ac:dyDescent="0.2">
      <c r="A20" s="52" t="s">
        <v>1077</v>
      </c>
    </row>
    <row r="21" spans="1:3" s="749" customFormat="1" ht="10.199999999999999" x14ac:dyDescent="0.2"/>
    <row r="22" spans="1:3" s="749" customFormat="1" ht="10.199999999999999" x14ac:dyDescent="0.2"/>
    <row r="23" spans="1:3" s="749" customFormat="1" ht="20.399999999999999" x14ac:dyDescent="0.2">
      <c r="A23" s="439"/>
      <c r="B23" s="753" t="s">
        <v>48</v>
      </c>
    </row>
    <row r="24" spans="1:3" s="749" customFormat="1" ht="10.199999999999999" x14ac:dyDescent="0.2">
      <c r="A24" s="750" t="s">
        <v>986</v>
      </c>
      <c r="B24" s="721">
        <v>2955460</v>
      </c>
    </row>
    <row r="25" spans="1:3" s="749" customFormat="1" ht="10.199999999999999" x14ac:dyDescent="0.2">
      <c r="A25" s="541" t="s">
        <v>987</v>
      </c>
      <c r="B25" s="721">
        <f>B26+B27</f>
        <v>1523718</v>
      </c>
    </row>
    <row r="26" spans="1:3" s="749" customFormat="1" ht="10.199999999999999" x14ac:dyDescent="0.2">
      <c r="A26" s="722" t="s">
        <v>988</v>
      </c>
      <c r="B26" s="423">
        <v>1523718</v>
      </c>
    </row>
    <row r="27" spans="1:3" s="749" customFormat="1" ht="10.199999999999999" x14ac:dyDescent="0.2">
      <c r="A27" s="722" t="s">
        <v>989</v>
      </c>
      <c r="B27" s="423">
        <v>0</v>
      </c>
    </row>
    <row r="28" spans="1:3" s="749" customFormat="1" ht="10.199999999999999" x14ac:dyDescent="0.2">
      <c r="A28" s="47" t="s">
        <v>990</v>
      </c>
      <c r="B28" s="721">
        <v>0</v>
      </c>
    </row>
    <row r="29" spans="1:3" s="749" customFormat="1" ht="10.199999999999999" x14ac:dyDescent="0.2">
      <c r="A29" s="47" t="s">
        <v>991</v>
      </c>
      <c r="B29" s="721">
        <f>33507</f>
        <v>33507</v>
      </c>
    </row>
    <row r="30" spans="1:3" s="749" customFormat="1" ht="10.199999999999999" x14ac:dyDescent="0.2">
      <c r="A30" s="47" t="s">
        <v>992</v>
      </c>
      <c r="B30" s="721">
        <f>B31+B32+B33</f>
        <v>-1289501</v>
      </c>
    </row>
    <row r="31" spans="1:3" s="749" customFormat="1" ht="10.199999999999999" x14ac:dyDescent="0.2">
      <c r="A31" s="722" t="s">
        <v>993</v>
      </c>
      <c r="B31" s="423">
        <v>-648000</v>
      </c>
    </row>
    <row r="32" spans="1:3" s="749" customFormat="1" ht="10.199999999999999" x14ac:dyDescent="0.2">
      <c r="A32" s="722" t="s">
        <v>994</v>
      </c>
      <c r="B32" s="423">
        <v>-33507</v>
      </c>
    </row>
    <row r="33" spans="1:2" s="749" customFormat="1" ht="10.199999999999999" x14ac:dyDescent="0.2">
      <c r="A33" s="722" t="s">
        <v>995</v>
      </c>
      <c r="B33" s="423">
        <f>982160-1591420+12306-11040</f>
        <v>-607994</v>
      </c>
    </row>
    <row r="34" spans="1:2" s="749" customFormat="1" ht="10.199999999999999" x14ac:dyDescent="0.2">
      <c r="A34" s="47" t="s">
        <v>996</v>
      </c>
      <c r="B34" s="721">
        <v>0</v>
      </c>
    </row>
    <row r="35" spans="1:2" s="749" customFormat="1" ht="10.199999999999999" x14ac:dyDescent="0.2">
      <c r="A35" s="47" t="s">
        <v>997</v>
      </c>
      <c r="B35" s="721">
        <v>0</v>
      </c>
    </row>
    <row r="36" spans="1:2" s="749" customFormat="1" ht="10.199999999999999" x14ac:dyDescent="0.2">
      <c r="A36" s="750" t="s">
        <v>998</v>
      </c>
      <c r="B36" s="721">
        <f>B24+B25+B28+B29+B30+B34+B35</f>
        <v>3223184</v>
      </c>
    </row>
    <row r="37" spans="1:2" s="749" customFormat="1" x14ac:dyDescent="0.25">
      <c r="A37" s="565"/>
      <c r="B37" s="565"/>
    </row>
    <row r="38" spans="1:2" s="749" customFormat="1" x14ac:dyDescent="0.25">
      <c r="A38" s="565"/>
      <c r="B38" s="565"/>
    </row>
    <row r="39" spans="1:2" s="749" customFormat="1" ht="20.399999999999999" x14ac:dyDescent="0.2">
      <c r="A39" s="439"/>
      <c r="B39" s="753" t="s">
        <v>48</v>
      </c>
    </row>
    <row r="40" spans="1:2" s="749" customFormat="1" ht="10.199999999999999" x14ac:dyDescent="0.2">
      <c r="A40" s="750" t="s">
        <v>999</v>
      </c>
      <c r="B40" s="721">
        <v>1393800</v>
      </c>
    </row>
    <row r="41" spans="1:2" s="749" customFormat="1" ht="10.199999999999999" x14ac:dyDescent="0.2">
      <c r="A41" s="541" t="s">
        <v>830</v>
      </c>
      <c r="B41" s="721">
        <v>0</v>
      </c>
    </row>
    <row r="42" spans="1:2" s="749" customFormat="1" ht="20.399999999999999" x14ac:dyDescent="0.2">
      <c r="A42" s="541" t="s">
        <v>1000</v>
      </c>
      <c r="B42" s="721">
        <f>B40+B41</f>
        <v>1393800</v>
      </c>
    </row>
    <row r="43" spans="1:2" s="749" customFormat="1" ht="10.199999999999999" x14ac:dyDescent="0.2">
      <c r="A43" s="541" t="s">
        <v>987</v>
      </c>
      <c r="B43" s="721">
        <f>B44+B46+B45</f>
        <v>2155660</v>
      </c>
    </row>
    <row r="44" spans="1:2" s="749" customFormat="1" ht="10.199999999999999" x14ac:dyDescent="0.2">
      <c r="A44" s="722" t="s">
        <v>988</v>
      </c>
      <c r="B44" s="423">
        <v>1947000</v>
      </c>
    </row>
    <row r="45" spans="1:2" s="749" customFormat="1" ht="10.199999999999999" x14ac:dyDescent="0.2">
      <c r="A45" s="722" t="s">
        <v>1001</v>
      </c>
      <c r="B45" s="423">
        <f>1591420-1375652+11040-18148</f>
        <v>208660</v>
      </c>
    </row>
    <row r="46" spans="1:2" s="749" customFormat="1" ht="10.199999999999999" x14ac:dyDescent="0.2">
      <c r="A46" s="722" t="s">
        <v>989</v>
      </c>
      <c r="B46" s="423">
        <v>0</v>
      </c>
    </row>
    <row r="47" spans="1:2" s="749" customFormat="1" ht="10.199999999999999" x14ac:dyDescent="0.2">
      <c r="A47" s="47" t="s">
        <v>990</v>
      </c>
      <c r="B47" s="721">
        <v>0</v>
      </c>
    </row>
    <row r="48" spans="1:2" s="749" customFormat="1" ht="10.199999999999999" x14ac:dyDescent="0.2">
      <c r="A48" s="47" t="s">
        <v>991</v>
      </c>
      <c r="B48" s="721">
        <v>59022</v>
      </c>
    </row>
    <row r="49" spans="1:5" s="749" customFormat="1" ht="10.199999999999999" x14ac:dyDescent="0.2">
      <c r="A49" s="47" t="s">
        <v>992</v>
      </c>
      <c r="B49" s="721">
        <f>B50+B51+B52</f>
        <v>-653022</v>
      </c>
    </row>
    <row r="50" spans="1:5" s="749" customFormat="1" ht="10.199999999999999" x14ac:dyDescent="0.2">
      <c r="A50" s="722" t="s">
        <v>993</v>
      </c>
      <c r="B50" s="423">
        <f>1353000-1947000</f>
        <v>-594000</v>
      </c>
    </row>
    <row r="51" spans="1:5" s="749" customFormat="1" ht="10.199999999999999" x14ac:dyDescent="0.2">
      <c r="A51" s="722" t="s">
        <v>994</v>
      </c>
      <c r="B51" s="423">
        <v>-59022</v>
      </c>
    </row>
    <row r="52" spans="1:5" s="749" customFormat="1" ht="10.199999999999999" x14ac:dyDescent="0.2">
      <c r="A52" s="722" t="s">
        <v>995</v>
      </c>
      <c r="B52" s="423">
        <v>0</v>
      </c>
    </row>
    <row r="53" spans="1:5" s="749" customFormat="1" ht="10.199999999999999" x14ac:dyDescent="0.2">
      <c r="A53" s="47" t="s">
        <v>996</v>
      </c>
      <c r="B53" s="721">
        <v>0</v>
      </c>
    </row>
    <row r="54" spans="1:5" s="749" customFormat="1" ht="10.199999999999999" x14ac:dyDescent="0.2">
      <c r="A54" s="47" t="s">
        <v>997</v>
      </c>
      <c r="B54" s="721">
        <v>0</v>
      </c>
    </row>
    <row r="55" spans="1:5" s="749" customFormat="1" ht="10.199999999999999" x14ac:dyDescent="0.2">
      <c r="A55" s="750" t="s">
        <v>1002</v>
      </c>
      <c r="B55" s="721">
        <f>B42+B43+B47+B48+B49+B53+B54</f>
        <v>2955460</v>
      </c>
    </row>
    <row r="56" spans="1:5" s="749" customFormat="1" ht="10.199999999999999" x14ac:dyDescent="0.2"/>
    <row r="57" spans="1:5" s="44" customFormat="1" ht="10.199999999999999" x14ac:dyDescent="0.2"/>
    <row r="58" spans="1:5" s="44" customFormat="1" ht="10.199999999999999" x14ac:dyDescent="0.2">
      <c r="A58" s="52" t="s">
        <v>92</v>
      </c>
    </row>
    <row r="59" spans="1:5" s="44" customFormat="1" ht="10.199999999999999" x14ac:dyDescent="0.2"/>
    <row r="60" spans="1:5" s="44" customFormat="1" ht="10.199999999999999" x14ac:dyDescent="0.2">
      <c r="A60" s="784" t="s">
        <v>316</v>
      </c>
      <c r="B60" s="807">
        <f>B5</f>
        <v>44196</v>
      </c>
      <c r="C60" s="807"/>
      <c r="D60" s="807">
        <f>C5</f>
        <v>43830</v>
      </c>
      <c r="E60" s="807"/>
    </row>
    <row r="61" spans="1:5" s="44" customFormat="1" ht="20.399999999999999" x14ac:dyDescent="0.2">
      <c r="A61" s="784"/>
      <c r="B61" s="71" t="s">
        <v>90</v>
      </c>
      <c r="C61" s="71" t="s">
        <v>91</v>
      </c>
      <c r="D61" s="71" t="s">
        <v>90</v>
      </c>
      <c r="E61" s="71" t="s">
        <v>91</v>
      </c>
    </row>
    <row r="62" spans="1:5" s="44" customFormat="1" ht="10.199999999999999" x14ac:dyDescent="0.2">
      <c r="A62" s="150" t="s">
        <v>15</v>
      </c>
      <c r="B62" s="207"/>
      <c r="C62" s="207">
        <v>3223184</v>
      </c>
      <c r="D62" s="207"/>
      <c r="E62" s="207">
        <v>2955460</v>
      </c>
    </row>
    <row r="63" spans="1:5" s="44" customFormat="1" ht="10.199999999999999" x14ac:dyDescent="0.2">
      <c r="A63" s="150" t="s">
        <v>16</v>
      </c>
      <c r="B63" s="163">
        <v>0</v>
      </c>
      <c r="C63" s="163">
        <v>0</v>
      </c>
      <c r="D63" s="163">
        <v>0</v>
      </c>
      <c r="E63" s="163">
        <v>0</v>
      </c>
    </row>
    <row r="64" spans="1:5" s="44" customFormat="1" ht="10.199999999999999" x14ac:dyDescent="0.2">
      <c r="A64" s="150" t="s">
        <v>17</v>
      </c>
      <c r="B64" s="163">
        <v>0</v>
      </c>
      <c r="C64" s="163">
        <v>0</v>
      </c>
      <c r="D64" s="163">
        <v>0</v>
      </c>
      <c r="E64" s="163">
        <v>0</v>
      </c>
    </row>
    <row r="65" spans="1:5" s="44" customFormat="1" ht="10.199999999999999" x14ac:dyDescent="0.2">
      <c r="A65" s="150" t="s">
        <v>374</v>
      </c>
      <c r="B65" s="163">
        <v>0</v>
      </c>
      <c r="C65" s="163">
        <v>0</v>
      </c>
      <c r="D65" s="163">
        <v>0</v>
      </c>
      <c r="E65" s="163">
        <v>0</v>
      </c>
    </row>
    <row r="66" spans="1:5" s="44" customFormat="1" ht="10.199999999999999" x14ac:dyDescent="0.2">
      <c r="A66" s="150" t="s">
        <v>375</v>
      </c>
      <c r="B66" s="163">
        <v>0</v>
      </c>
      <c r="C66" s="163">
        <v>0</v>
      </c>
      <c r="D66" s="163">
        <v>0</v>
      </c>
      <c r="E66" s="163">
        <v>0</v>
      </c>
    </row>
    <row r="67" spans="1:5" s="44" customFormat="1" ht="10.199999999999999" x14ac:dyDescent="0.2">
      <c r="A67" s="13" t="s">
        <v>89</v>
      </c>
      <c r="B67" s="246" t="s">
        <v>88</v>
      </c>
      <c r="C67" s="131">
        <f>SUM(C62:C66)</f>
        <v>3223184</v>
      </c>
      <c r="D67" s="246" t="s">
        <v>88</v>
      </c>
      <c r="E67" s="131">
        <f>SUM(E62:E66)</f>
        <v>2955460</v>
      </c>
    </row>
    <row r="68" spans="1:5" s="44" customFormat="1" ht="10.199999999999999" x14ac:dyDescent="0.2">
      <c r="C68" s="314">
        <f>B14-C67</f>
        <v>0</v>
      </c>
      <c r="E68" s="314">
        <f>C14-E67</f>
        <v>0</v>
      </c>
    </row>
    <row r="69" spans="1:5" s="44" customFormat="1" ht="10.199999999999999" x14ac:dyDescent="0.2"/>
    <row r="70" spans="1:5" s="44" customFormat="1" ht="10.199999999999999" x14ac:dyDescent="0.2"/>
    <row r="71" spans="1:5" s="44" customFormat="1" ht="10.199999999999999" x14ac:dyDescent="0.2"/>
  </sheetData>
  <mergeCells count="3">
    <mergeCell ref="A60:A61"/>
    <mergeCell ref="B60:C60"/>
    <mergeCell ref="D60:E60"/>
  </mergeCells>
  <phoneticPr fontId="31" type="noConversion"/>
  <pageMargins left="0.75" right="0.75" top="1" bottom="1" header="0.5" footer="0.5"/>
  <pageSetup paperSize="9" scale="7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showGridLines="0" view="pageBreakPreview" topLeftCell="A32" zoomScaleNormal="100" zoomScaleSheetLayoutView="100" workbookViewId="0">
      <selection activeCell="B31" sqref="B31"/>
    </sheetView>
  </sheetViews>
  <sheetFormatPr defaultRowHeight="13.2" x14ac:dyDescent="0.25"/>
  <cols>
    <col min="1" max="1" width="60.44140625" customWidth="1"/>
    <col min="2" max="7" width="15.5546875" customWidth="1"/>
  </cols>
  <sheetData>
    <row r="1" spans="1:5" s="137" customFormat="1" ht="10.199999999999999" x14ac:dyDescent="0.25"/>
    <row r="2" spans="1:5" s="137" customFormat="1" x14ac:dyDescent="0.25">
      <c r="A2" s="399" t="s">
        <v>1078</v>
      </c>
      <c r="D2" s="384"/>
      <c r="E2" s="384"/>
    </row>
    <row r="3" spans="1:5" s="137" customFormat="1" ht="10.199999999999999" x14ac:dyDescent="0.25">
      <c r="A3" s="134"/>
    </row>
    <row r="4" spans="1:5" s="137" customFormat="1" ht="10.199999999999999" x14ac:dyDescent="0.25">
      <c r="A4" s="138"/>
      <c r="B4" s="435">
        <f>'Dane podstawowe'!B9</f>
        <v>44196</v>
      </c>
      <c r="C4" s="435">
        <f>'Dane podstawowe'!B14</f>
        <v>43830</v>
      </c>
    </row>
    <row r="5" spans="1:5" s="137" customFormat="1" ht="10.199999999999999" x14ac:dyDescent="0.25">
      <c r="A5" s="64" t="s">
        <v>247</v>
      </c>
      <c r="B5" s="448">
        <v>1521525</v>
      </c>
      <c r="C5" s="448">
        <v>1568421</v>
      </c>
    </row>
    <row r="6" spans="1:5" s="137" customFormat="1" ht="10.199999999999999" x14ac:dyDescent="0.25">
      <c r="A6" s="64" t="s">
        <v>919</v>
      </c>
      <c r="B6" s="449">
        <v>924344</v>
      </c>
      <c r="C6" s="449">
        <v>924344</v>
      </c>
    </row>
    <row r="7" spans="1:5" s="137" customFormat="1" ht="10.199999999999999" hidden="1" x14ac:dyDescent="0.25">
      <c r="A7" s="64" t="s">
        <v>248</v>
      </c>
      <c r="B7" s="449">
        <v>0</v>
      </c>
      <c r="C7" s="449">
        <v>0</v>
      </c>
    </row>
    <row r="8" spans="1:5" s="137" customFormat="1" ht="10.199999999999999" hidden="1" x14ac:dyDescent="0.25">
      <c r="A8" s="64" t="s">
        <v>501</v>
      </c>
      <c r="B8" s="449">
        <v>0</v>
      </c>
      <c r="C8" s="449">
        <v>0</v>
      </c>
    </row>
    <row r="9" spans="1:5" s="137" customFormat="1" ht="10.199999999999999" hidden="1" x14ac:dyDescent="0.25">
      <c r="A9" s="64" t="s">
        <v>502</v>
      </c>
      <c r="B9" s="449">
        <v>0</v>
      </c>
      <c r="C9" s="449">
        <v>0</v>
      </c>
    </row>
    <row r="10" spans="1:5" s="137" customFormat="1" ht="10.199999999999999" hidden="1" x14ac:dyDescent="0.25">
      <c r="A10" s="64" t="s">
        <v>503</v>
      </c>
      <c r="B10" s="449">
        <v>0</v>
      </c>
      <c r="C10" s="449">
        <v>0</v>
      </c>
    </row>
    <row r="11" spans="1:5" s="137" customFormat="1" ht="10.199999999999999" x14ac:dyDescent="0.25">
      <c r="A11" s="141" t="s">
        <v>249</v>
      </c>
      <c r="B11" s="447">
        <f>SUM(B5:B10)</f>
        <v>2445869</v>
      </c>
      <c r="C11" s="447">
        <f>SUM(C5:C10)</f>
        <v>2492765</v>
      </c>
    </row>
    <row r="12" spans="1:5" s="137" customFormat="1" ht="10.199999999999999" x14ac:dyDescent="0.25">
      <c r="A12" s="70" t="s">
        <v>516</v>
      </c>
      <c r="B12" s="449">
        <f>524431</f>
        <v>524431</v>
      </c>
      <c r="C12" s="449">
        <f>787325+924344</f>
        <v>1711669</v>
      </c>
    </row>
    <row r="13" spans="1:5" s="137" customFormat="1" ht="10.199999999999999" x14ac:dyDescent="0.25">
      <c r="A13" s="70" t="s">
        <v>517</v>
      </c>
      <c r="B13" s="449">
        <f>997094+924344</f>
        <v>1921438</v>
      </c>
      <c r="C13" s="449">
        <v>781096</v>
      </c>
    </row>
    <row r="14" spans="1:5" s="137" customFormat="1" ht="10.199999999999999" x14ac:dyDescent="0.25">
      <c r="A14" s="136"/>
      <c r="B14" s="320">
        <f>B11-Pasywa!D14-Pasywa!D22</f>
        <v>0</v>
      </c>
      <c r="C14" s="320">
        <f>C11-Pasywa!E14-Pasywa!E22</f>
        <v>0</v>
      </c>
    </row>
    <row r="15" spans="1:5" s="137" customFormat="1" ht="10.199999999999999" x14ac:dyDescent="0.25">
      <c r="B15" s="318"/>
      <c r="C15" s="321"/>
      <c r="E15" s="345"/>
    </row>
    <row r="16" spans="1:5" s="137" customFormat="1" ht="10.199999999999999" x14ac:dyDescent="0.25">
      <c r="A16" s="11" t="s">
        <v>1077</v>
      </c>
      <c r="B16" s="318"/>
      <c r="C16" s="321"/>
      <c r="E16" s="345"/>
    </row>
    <row r="17" spans="1:6" s="137" customFormat="1" ht="10.199999999999999" x14ac:dyDescent="0.25">
      <c r="A17" s="11"/>
      <c r="B17" s="318"/>
      <c r="C17" s="321"/>
      <c r="E17" s="345"/>
    </row>
    <row r="18" spans="1:6" s="137" customFormat="1" ht="20.399999999999999" x14ac:dyDescent="0.25">
      <c r="A18" s="439"/>
      <c r="B18" s="753" t="s">
        <v>610</v>
      </c>
      <c r="C18" s="231"/>
      <c r="D18" s="231"/>
      <c r="E18" s="231"/>
      <c r="F18" s="231"/>
    </row>
    <row r="19" spans="1:6" s="137" customFormat="1" ht="10.199999999999999" x14ac:dyDescent="0.2">
      <c r="A19" s="750" t="s">
        <v>986</v>
      </c>
      <c r="B19" s="721">
        <v>2492765</v>
      </c>
      <c r="C19" s="231"/>
      <c r="D19" s="231"/>
      <c r="E19" s="231"/>
      <c r="F19" s="231"/>
    </row>
    <row r="20" spans="1:6" s="137" customFormat="1" ht="10.199999999999999" x14ac:dyDescent="0.2">
      <c r="A20" s="541" t="s">
        <v>987</v>
      </c>
      <c r="B20" s="721">
        <f>B21+B22</f>
        <v>1215312</v>
      </c>
      <c r="C20" s="231"/>
      <c r="D20" s="231"/>
      <c r="E20" s="231"/>
      <c r="F20" s="231"/>
    </row>
    <row r="21" spans="1:6" s="137" customFormat="1" ht="10.199999999999999" x14ac:dyDescent="0.2">
      <c r="A21" s="722" t="s">
        <v>988</v>
      </c>
      <c r="B21" s="423">
        <v>0</v>
      </c>
      <c r="C21" s="231"/>
      <c r="D21" s="231"/>
      <c r="E21" s="231"/>
      <c r="F21" s="231"/>
    </row>
    <row r="22" spans="1:6" s="137" customFormat="1" ht="10.199999999999999" x14ac:dyDescent="0.2">
      <c r="A22" s="722" t="s">
        <v>989</v>
      </c>
      <c r="B22" s="423">
        <v>1215312</v>
      </c>
      <c r="C22" s="231"/>
      <c r="D22" s="231"/>
      <c r="E22" s="231"/>
      <c r="F22" s="231"/>
    </row>
    <row r="23" spans="1:6" s="137" customFormat="1" ht="10.199999999999999" x14ac:dyDescent="0.2">
      <c r="A23" s="47" t="s">
        <v>990</v>
      </c>
      <c r="B23" s="721">
        <v>-279290</v>
      </c>
      <c r="C23" s="231"/>
      <c r="D23" s="231"/>
      <c r="E23" s="231"/>
      <c r="F23" s="231"/>
    </row>
    <row r="24" spans="1:6" s="137" customFormat="1" ht="10.199999999999999" x14ac:dyDescent="0.2">
      <c r="A24" s="47" t="s">
        <v>991</v>
      </c>
      <c r="B24" s="721">
        <v>0</v>
      </c>
      <c r="C24" s="231"/>
      <c r="D24" s="231"/>
      <c r="E24" s="231"/>
      <c r="F24" s="231"/>
    </row>
    <row r="25" spans="1:6" s="137" customFormat="1" ht="10.199999999999999" x14ac:dyDescent="0.2">
      <c r="A25" s="47" t="s">
        <v>992</v>
      </c>
      <c r="B25" s="721">
        <f>B26+B27+B28</f>
        <v>-982918</v>
      </c>
      <c r="C25" s="231"/>
      <c r="D25" s="231"/>
      <c r="E25" s="231"/>
      <c r="F25" s="231"/>
    </row>
    <row r="26" spans="1:6" s="137" customFormat="1" ht="10.199999999999999" x14ac:dyDescent="0.2">
      <c r="A26" s="722" t="s">
        <v>993</v>
      </c>
      <c r="B26" s="720">
        <f>-982918+17981</f>
        <v>-964937</v>
      </c>
      <c r="C26" s="231"/>
      <c r="D26" s="231"/>
      <c r="E26" s="231"/>
      <c r="F26" s="231"/>
    </row>
    <row r="27" spans="1:6" s="137" customFormat="1" ht="10.199999999999999" x14ac:dyDescent="0.2">
      <c r="A27" s="722" t="s">
        <v>994</v>
      </c>
      <c r="B27" s="720">
        <v>-17981</v>
      </c>
      <c r="C27" s="231"/>
      <c r="D27" s="231"/>
      <c r="E27" s="231"/>
      <c r="F27" s="231"/>
    </row>
    <row r="28" spans="1:6" s="137" customFormat="1" ht="10.199999999999999" x14ac:dyDescent="0.2">
      <c r="A28" s="722" t="s">
        <v>995</v>
      </c>
      <c r="B28" s="423">
        <v>0</v>
      </c>
      <c r="C28" s="231"/>
      <c r="D28" s="231"/>
      <c r="E28" s="231"/>
      <c r="F28" s="231"/>
    </row>
    <row r="29" spans="1:6" s="137" customFormat="1" ht="10.199999999999999" x14ac:dyDescent="0.2">
      <c r="A29" s="47" t="s">
        <v>996</v>
      </c>
      <c r="B29" s="721">
        <v>0</v>
      </c>
      <c r="C29" s="231"/>
      <c r="D29" s="231"/>
      <c r="E29" s="231"/>
      <c r="F29" s="231"/>
    </row>
    <row r="30" spans="1:6" s="137" customFormat="1" ht="10.199999999999999" x14ac:dyDescent="0.2">
      <c r="A30" s="47" t="s">
        <v>997</v>
      </c>
      <c r="B30" s="721">
        <v>0</v>
      </c>
      <c r="C30" s="231"/>
      <c r="D30" s="231"/>
      <c r="E30" s="231"/>
      <c r="F30" s="231"/>
    </row>
    <row r="31" spans="1:6" s="137" customFormat="1" ht="10.199999999999999" x14ac:dyDescent="0.2">
      <c r="A31" s="750" t="s">
        <v>998</v>
      </c>
      <c r="B31" s="721">
        <f>B19+B20+B23+B24+B25+B29+B30</f>
        <v>2445869</v>
      </c>
      <c r="C31" s="231"/>
      <c r="D31" s="231"/>
      <c r="E31" s="231"/>
      <c r="F31" s="231"/>
    </row>
    <row r="32" spans="1:6" s="137" customFormat="1" x14ac:dyDescent="0.25">
      <c r="A32" s="565"/>
      <c r="B32" s="565"/>
      <c r="C32" s="231"/>
      <c r="D32" s="231"/>
      <c r="E32" s="231"/>
      <c r="F32" s="231"/>
    </row>
    <row r="33" spans="1:7" s="137" customFormat="1" x14ac:dyDescent="0.25">
      <c r="A33" s="565"/>
      <c r="B33" s="565"/>
      <c r="C33" s="231"/>
      <c r="D33" s="231"/>
      <c r="E33" s="231"/>
      <c r="F33" s="231"/>
    </row>
    <row r="34" spans="1:7" s="137" customFormat="1" ht="20.399999999999999" x14ac:dyDescent="0.25">
      <c r="A34" s="439"/>
      <c r="B34" s="753" t="s">
        <v>610</v>
      </c>
      <c r="C34" s="231"/>
      <c r="D34" s="231"/>
      <c r="E34" s="231"/>
      <c r="F34" s="231"/>
    </row>
    <row r="35" spans="1:7" s="137" customFormat="1" ht="10.199999999999999" x14ac:dyDescent="0.2">
      <c r="A35" s="750" t="s">
        <v>999</v>
      </c>
      <c r="B35" s="721">
        <v>1160522</v>
      </c>
      <c r="C35" s="231"/>
      <c r="D35" s="231"/>
      <c r="E35" s="231"/>
      <c r="F35" s="231"/>
    </row>
    <row r="36" spans="1:7" s="137" customFormat="1" ht="10.199999999999999" x14ac:dyDescent="0.2">
      <c r="A36" s="541" t="s">
        <v>830</v>
      </c>
      <c r="B36" s="721">
        <v>2070869</v>
      </c>
      <c r="C36" s="231"/>
      <c r="D36" s="231"/>
      <c r="E36" s="231"/>
      <c r="F36" s="231"/>
    </row>
    <row r="37" spans="1:7" s="137" customFormat="1" ht="10.199999999999999" x14ac:dyDescent="0.2">
      <c r="A37" s="541" t="s">
        <v>1000</v>
      </c>
      <c r="B37" s="721">
        <f>B35+B36</f>
        <v>3231391</v>
      </c>
      <c r="C37" s="231"/>
      <c r="D37" s="231"/>
      <c r="E37" s="231"/>
      <c r="F37" s="231"/>
    </row>
    <row r="38" spans="1:7" s="137" customFormat="1" ht="10.199999999999999" x14ac:dyDescent="0.2">
      <c r="A38" s="541" t="s">
        <v>987</v>
      </c>
      <c r="B38" s="721">
        <f>B39+B41</f>
        <v>23730</v>
      </c>
      <c r="C38" s="231"/>
      <c r="D38" s="231"/>
      <c r="E38" s="231"/>
      <c r="F38" s="231"/>
    </row>
    <row r="39" spans="1:7" s="137" customFormat="1" ht="10.199999999999999" x14ac:dyDescent="0.2">
      <c r="A39" s="722" t="s">
        <v>988</v>
      </c>
      <c r="B39" s="423">
        <v>0</v>
      </c>
      <c r="C39" s="231"/>
      <c r="D39" s="231"/>
      <c r="E39" s="231"/>
      <c r="F39" s="231"/>
    </row>
    <row r="40" spans="1:7" s="137" customFormat="1" ht="22.95" customHeight="1" x14ac:dyDescent="0.2">
      <c r="A40" s="722" t="s">
        <v>1001</v>
      </c>
      <c r="B40" s="423">
        <v>0</v>
      </c>
      <c r="C40" s="231"/>
      <c r="D40" s="231"/>
      <c r="E40" s="231"/>
      <c r="F40" s="231"/>
    </row>
    <row r="41" spans="1:7" s="137" customFormat="1" ht="10.199999999999999" x14ac:dyDescent="0.2">
      <c r="A41" s="722" t="s">
        <v>989</v>
      </c>
      <c r="B41" s="423">
        <v>23730</v>
      </c>
      <c r="C41" s="231"/>
      <c r="D41" s="231"/>
      <c r="E41" s="231"/>
      <c r="F41" s="231"/>
    </row>
    <row r="42" spans="1:7" s="11" customFormat="1" ht="10.199999999999999" x14ac:dyDescent="0.2">
      <c r="A42" s="47" t="s">
        <v>990</v>
      </c>
      <c r="B42" s="721">
        <v>0</v>
      </c>
      <c r="C42" s="231"/>
      <c r="D42" s="231"/>
      <c r="E42" s="231"/>
      <c r="F42" s="231"/>
      <c r="G42" s="137"/>
    </row>
    <row r="43" spans="1:7" s="137" customFormat="1" ht="10.199999999999999" x14ac:dyDescent="0.2">
      <c r="A43" s="47" t="s">
        <v>991</v>
      </c>
      <c r="B43" s="721">
        <v>0</v>
      </c>
      <c r="C43" s="231"/>
      <c r="D43" s="231"/>
      <c r="E43" s="231"/>
      <c r="F43" s="231"/>
    </row>
    <row r="44" spans="1:7" s="137" customFormat="1" ht="10.199999999999999" x14ac:dyDescent="0.2">
      <c r="A44" s="47" t="s">
        <v>992</v>
      </c>
      <c r="B44" s="721">
        <f>B45+B46+B47</f>
        <v>-762356</v>
      </c>
      <c r="C44" s="231"/>
      <c r="D44" s="231"/>
      <c r="E44" s="231"/>
      <c r="F44" s="231"/>
    </row>
    <row r="45" spans="1:7" s="137" customFormat="1" ht="10.199999999999999" x14ac:dyDescent="0.2">
      <c r="A45" s="722" t="s">
        <v>993</v>
      </c>
      <c r="B45" s="720">
        <f>-762356+75121</f>
        <v>-687235</v>
      </c>
      <c r="C45" s="231"/>
      <c r="D45" s="231"/>
      <c r="E45" s="231"/>
      <c r="F45" s="231"/>
    </row>
    <row r="46" spans="1:7" s="137" customFormat="1" ht="10.199999999999999" x14ac:dyDescent="0.2">
      <c r="A46" s="722" t="s">
        <v>994</v>
      </c>
      <c r="B46" s="720">
        <v>-75121</v>
      </c>
      <c r="C46" s="231"/>
      <c r="D46" s="231"/>
      <c r="E46" s="231"/>
      <c r="F46" s="231"/>
    </row>
    <row r="47" spans="1:7" s="11" customFormat="1" ht="10.199999999999999" x14ac:dyDescent="0.2">
      <c r="A47" s="722" t="s">
        <v>995</v>
      </c>
      <c r="B47" s="423">
        <v>0</v>
      </c>
      <c r="C47" s="231"/>
      <c r="D47" s="231"/>
      <c r="E47" s="231"/>
      <c r="F47" s="231"/>
      <c r="G47" s="137"/>
    </row>
    <row r="48" spans="1:7" s="137" customFormat="1" ht="10.199999999999999" x14ac:dyDescent="0.2">
      <c r="A48" s="47" t="s">
        <v>996</v>
      </c>
      <c r="B48" s="721">
        <v>0</v>
      </c>
      <c r="C48" s="231"/>
      <c r="D48" s="231"/>
      <c r="E48" s="231"/>
      <c r="F48" s="231"/>
    </row>
    <row r="49" spans="1:6" s="137" customFormat="1" ht="10.199999999999999" x14ac:dyDescent="0.2">
      <c r="A49" s="47" t="s">
        <v>997</v>
      </c>
      <c r="B49" s="721">
        <v>0</v>
      </c>
      <c r="C49" s="231"/>
      <c r="D49" s="231"/>
      <c r="E49" s="231"/>
      <c r="F49" s="231"/>
    </row>
    <row r="50" spans="1:6" s="137" customFormat="1" ht="10.199999999999999" x14ac:dyDescent="0.2">
      <c r="A50" s="750" t="s">
        <v>1002</v>
      </c>
      <c r="B50" s="721">
        <f>B37+B38+B42+B43+B44+B48+B49</f>
        <v>2492765</v>
      </c>
      <c r="C50" s="231"/>
      <c r="D50" s="231"/>
      <c r="E50" s="231"/>
      <c r="F50" s="231"/>
    </row>
    <row r="51" spans="1:6" s="137" customFormat="1" ht="10.199999999999999" x14ac:dyDescent="0.25">
      <c r="A51" s="231"/>
      <c r="B51" s="231"/>
      <c r="C51" s="231"/>
      <c r="D51" s="231"/>
      <c r="E51" s="231"/>
      <c r="F51" s="231"/>
    </row>
    <row r="52" spans="1:6" s="137" customFormat="1" ht="10.199999999999999" x14ac:dyDescent="0.25">
      <c r="A52" s="231"/>
      <c r="B52" s="231"/>
      <c r="C52" s="231"/>
      <c r="D52" s="231"/>
      <c r="E52" s="231"/>
      <c r="F52" s="231"/>
    </row>
    <row r="53" spans="1:6" s="137" customFormat="1" ht="10.199999999999999" x14ac:dyDescent="0.25">
      <c r="A53" s="231"/>
      <c r="B53" s="231"/>
      <c r="C53" s="231"/>
      <c r="D53" s="231"/>
      <c r="E53" s="231"/>
      <c r="F53" s="231"/>
    </row>
    <row r="54" spans="1:6" s="137" customFormat="1" ht="10.199999999999999" x14ac:dyDescent="0.25">
      <c r="A54" s="231"/>
      <c r="B54" s="231"/>
      <c r="C54" s="231"/>
      <c r="D54" s="231"/>
      <c r="E54" s="231"/>
      <c r="F54" s="231"/>
    </row>
    <row r="55" spans="1:6" s="137" customFormat="1" ht="10.199999999999999" x14ac:dyDescent="0.25">
      <c r="A55" s="231"/>
      <c r="B55" s="231"/>
      <c r="C55" s="231"/>
      <c r="D55" s="231"/>
      <c r="E55" s="231"/>
      <c r="F55" s="231"/>
    </row>
    <row r="56" spans="1:6" s="137" customFormat="1" ht="10.199999999999999" x14ac:dyDescent="0.25">
      <c r="A56" s="231"/>
      <c r="B56" s="231"/>
      <c r="C56" s="231"/>
      <c r="D56" s="231"/>
      <c r="E56" s="231"/>
      <c r="F56" s="231"/>
    </row>
    <row r="57" spans="1:6" s="137" customFormat="1" ht="10.199999999999999" x14ac:dyDescent="0.25">
      <c r="A57" s="231"/>
      <c r="B57" s="231"/>
      <c r="C57" s="231"/>
      <c r="D57" s="231"/>
      <c r="E57" s="231"/>
      <c r="F57" s="231"/>
    </row>
    <row r="58" spans="1:6" s="137" customFormat="1" ht="10.199999999999999" x14ac:dyDescent="0.25">
      <c r="A58" s="231"/>
      <c r="B58" s="231"/>
      <c r="C58" s="231"/>
      <c r="D58" s="231"/>
      <c r="E58" s="231"/>
      <c r="F58" s="231"/>
    </row>
    <row r="59" spans="1:6" s="137" customFormat="1" ht="10.199999999999999" x14ac:dyDescent="0.25">
      <c r="A59" s="231"/>
      <c r="B59" s="231"/>
      <c r="C59" s="231"/>
      <c r="D59" s="231"/>
      <c r="E59" s="231"/>
      <c r="F59" s="231"/>
    </row>
    <row r="60" spans="1:6" s="137" customFormat="1" ht="10.199999999999999" x14ac:dyDescent="0.25">
      <c r="A60" s="231"/>
      <c r="B60" s="231"/>
      <c r="C60" s="231"/>
      <c r="D60" s="231"/>
      <c r="E60" s="231"/>
      <c r="F60" s="231"/>
    </row>
    <row r="61" spans="1:6" s="137" customFormat="1" ht="10.199999999999999" customHeight="1" x14ac:dyDescent="0.25">
      <c r="A61" s="231"/>
      <c r="B61" s="231"/>
      <c r="C61" s="231"/>
      <c r="D61" s="231"/>
      <c r="E61" s="231"/>
      <c r="F61" s="231"/>
    </row>
    <row r="62" spans="1:6" s="137" customFormat="1" ht="10.199999999999999" x14ac:dyDescent="0.25">
      <c r="A62" s="231"/>
      <c r="B62" s="231"/>
      <c r="C62" s="231"/>
      <c r="D62" s="231"/>
      <c r="E62" s="231"/>
      <c r="F62" s="231"/>
    </row>
    <row r="63" spans="1:6" s="137" customFormat="1" ht="10.199999999999999" x14ac:dyDescent="0.25">
      <c r="A63" s="231"/>
      <c r="B63" s="231"/>
      <c r="C63" s="231"/>
      <c r="D63" s="231"/>
      <c r="E63" s="231"/>
      <c r="F63" s="231"/>
    </row>
    <row r="64" spans="1:6" s="137" customFormat="1" ht="10.199999999999999" x14ac:dyDescent="0.25">
      <c r="A64" s="231"/>
      <c r="B64" s="231"/>
      <c r="C64" s="231"/>
      <c r="D64" s="231"/>
      <c r="E64" s="231"/>
      <c r="F64" s="231"/>
    </row>
    <row r="65" spans="1:6" s="137" customFormat="1" ht="10.199999999999999" x14ac:dyDescent="0.25">
      <c r="A65" s="231"/>
      <c r="B65" s="231"/>
      <c r="C65" s="231"/>
      <c r="D65" s="231"/>
      <c r="E65" s="231"/>
      <c r="F65" s="231"/>
    </row>
    <row r="66" spans="1:6" s="137" customFormat="1" ht="10.199999999999999" x14ac:dyDescent="0.25">
      <c r="A66" s="231"/>
      <c r="B66" s="231"/>
      <c r="C66" s="231"/>
      <c r="D66" s="231"/>
      <c r="E66" s="231"/>
      <c r="F66" s="231"/>
    </row>
    <row r="67" spans="1:6" s="137" customFormat="1" ht="10.199999999999999" x14ac:dyDescent="0.25">
      <c r="A67" s="231"/>
      <c r="B67" s="231"/>
      <c r="C67" s="231"/>
      <c r="D67" s="231"/>
      <c r="E67" s="231"/>
      <c r="F67" s="231"/>
    </row>
    <row r="68" spans="1:6" s="137" customFormat="1" ht="10.199999999999999" x14ac:dyDescent="0.25">
      <c r="A68" s="231"/>
      <c r="B68" s="231"/>
      <c r="C68" s="231"/>
      <c r="D68" s="231"/>
      <c r="E68" s="231"/>
      <c r="F68" s="231"/>
    </row>
    <row r="69" spans="1:6" s="137" customFormat="1" ht="10.199999999999999" x14ac:dyDescent="0.25">
      <c r="A69" s="231"/>
      <c r="B69" s="231"/>
      <c r="C69" s="231"/>
      <c r="D69" s="231"/>
      <c r="E69" s="231"/>
      <c r="F69" s="231"/>
    </row>
    <row r="70" spans="1:6" s="137" customFormat="1" ht="10.199999999999999" x14ac:dyDescent="0.25">
      <c r="A70" s="231"/>
      <c r="B70" s="231"/>
      <c r="C70" s="231"/>
      <c r="D70" s="231"/>
      <c r="E70" s="231"/>
      <c r="F70" s="231"/>
    </row>
    <row r="71" spans="1:6" s="137" customFormat="1" ht="10.199999999999999" x14ac:dyDescent="0.25">
      <c r="A71" s="231"/>
      <c r="B71" s="231"/>
      <c r="C71" s="231"/>
      <c r="D71" s="231"/>
      <c r="E71" s="231"/>
      <c r="F71" s="231"/>
    </row>
    <row r="72" spans="1:6" s="137" customFormat="1" ht="10.199999999999999" x14ac:dyDescent="0.25">
      <c r="A72" s="231"/>
      <c r="B72" s="231"/>
      <c r="C72" s="231"/>
      <c r="D72" s="231"/>
      <c r="E72" s="231"/>
      <c r="F72" s="231"/>
    </row>
    <row r="73" spans="1:6" s="137" customFormat="1" ht="10.199999999999999" x14ac:dyDescent="0.25">
      <c r="A73" s="231"/>
      <c r="B73" s="231"/>
      <c r="C73" s="231"/>
      <c r="D73" s="231"/>
      <c r="E73" s="231"/>
      <c r="F73" s="231"/>
    </row>
    <row r="74" spans="1:6" s="137" customFormat="1" ht="10.199999999999999" x14ac:dyDescent="0.25">
      <c r="A74" s="231"/>
      <c r="B74" s="231"/>
      <c r="C74" s="231"/>
      <c r="D74" s="231"/>
      <c r="E74" s="231"/>
      <c r="F74" s="231"/>
    </row>
    <row r="75" spans="1:6" s="137" customFormat="1" ht="10.199999999999999" x14ac:dyDescent="0.25">
      <c r="A75" s="231"/>
      <c r="B75" s="231"/>
      <c r="C75" s="231"/>
      <c r="D75" s="231"/>
      <c r="E75" s="231"/>
      <c r="F75" s="231"/>
    </row>
    <row r="76" spans="1:6" s="137" customFormat="1" ht="10.199999999999999" x14ac:dyDescent="0.25">
      <c r="A76" s="231"/>
      <c r="B76" s="231"/>
      <c r="C76" s="231"/>
      <c r="D76" s="231"/>
      <c r="E76" s="231"/>
      <c r="F76" s="231"/>
    </row>
    <row r="77" spans="1:6" s="137" customFormat="1" ht="10.199999999999999" x14ac:dyDescent="0.25">
      <c r="A77" s="231"/>
      <c r="B77" s="231"/>
      <c r="C77" s="231"/>
      <c r="D77" s="231"/>
      <c r="E77" s="231"/>
      <c r="F77" s="231"/>
    </row>
    <row r="78" spans="1:6" s="137" customFormat="1" ht="10.199999999999999" x14ac:dyDescent="0.25">
      <c r="A78" s="231"/>
      <c r="B78" s="231"/>
      <c r="C78" s="231"/>
      <c r="D78" s="231"/>
      <c r="E78" s="231"/>
      <c r="F78" s="231"/>
    </row>
    <row r="79" spans="1:6" s="137" customFormat="1" ht="10.199999999999999" x14ac:dyDescent="0.25">
      <c r="A79" s="231"/>
      <c r="B79" s="231"/>
      <c r="C79" s="231"/>
      <c r="D79" s="231"/>
      <c r="E79" s="231"/>
      <c r="F79" s="231"/>
    </row>
    <row r="80" spans="1:6" s="137" customFormat="1" ht="10.199999999999999" x14ac:dyDescent="0.25">
      <c r="A80" s="231"/>
      <c r="B80" s="231"/>
      <c r="C80" s="231"/>
      <c r="D80" s="231"/>
      <c r="E80" s="231"/>
      <c r="F80" s="231"/>
    </row>
    <row r="81" spans="1:6" s="137" customFormat="1" ht="10.199999999999999" x14ac:dyDescent="0.25">
      <c r="A81" s="231"/>
      <c r="B81" s="231"/>
      <c r="C81" s="231"/>
      <c r="D81" s="231"/>
      <c r="E81" s="231"/>
      <c r="F81" s="231"/>
    </row>
    <row r="82" spans="1:6" s="137" customFormat="1" ht="10.199999999999999" x14ac:dyDescent="0.25">
      <c r="A82" s="231"/>
      <c r="B82" s="231"/>
      <c r="C82" s="231"/>
      <c r="D82" s="231"/>
      <c r="E82" s="231"/>
      <c r="F82" s="231"/>
    </row>
    <row r="83" spans="1:6" s="137" customFormat="1" ht="10.199999999999999" x14ac:dyDescent="0.25">
      <c r="A83" s="231"/>
      <c r="B83" s="231"/>
      <c r="C83" s="231"/>
      <c r="D83" s="231"/>
      <c r="E83" s="231"/>
      <c r="F83" s="231"/>
    </row>
    <row r="84" spans="1:6" s="137" customFormat="1" ht="10.199999999999999" x14ac:dyDescent="0.25">
      <c r="A84" s="231"/>
      <c r="B84" s="231"/>
      <c r="C84" s="231"/>
      <c r="D84" s="231"/>
      <c r="E84" s="231"/>
      <c r="F84" s="231"/>
    </row>
    <row r="85" spans="1:6" s="137" customFormat="1" ht="10.199999999999999" x14ac:dyDescent="0.25">
      <c r="A85" s="231"/>
      <c r="B85" s="231"/>
      <c r="C85" s="231"/>
      <c r="D85" s="231"/>
      <c r="E85" s="231"/>
      <c r="F85" s="231"/>
    </row>
    <row r="86" spans="1:6" s="137" customFormat="1" ht="10.199999999999999" x14ac:dyDescent="0.25">
      <c r="A86" s="231"/>
      <c r="B86" s="231"/>
      <c r="C86" s="231"/>
      <c r="D86" s="231"/>
      <c r="E86" s="231"/>
      <c r="F86" s="231"/>
    </row>
    <row r="87" spans="1:6" s="137" customFormat="1" ht="10.199999999999999" x14ac:dyDescent="0.25">
      <c r="A87" s="231"/>
      <c r="B87" s="231"/>
      <c r="C87" s="231"/>
      <c r="D87" s="231"/>
      <c r="E87" s="231"/>
      <c r="F87" s="231"/>
    </row>
    <row r="88" spans="1:6" s="137" customFormat="1" ht="10.199999999999999" x14ac:dyDescent="0.25">
      <c r="A88" s="231"/>
      <c r="B88" s="231"/>
      <c r="C88" s="231"/>
      <c r="D88" s="231"/>
      <c r="E88" s="231"/>
      <c r="F88" s="231"/>
    </row>
    <row r="89" spans="1:6" s="137" customFormat="1" ht="10.199999999999999" x14ac:dyDescent="0.25">
      <c r="A89" s="231"/>
      <c r="B89" s="231"/>
      <c r="C89" s="231"/>
      <c r="D89" s="231"/>
      <c r="E89" s="231"/>
      <c r="F89" s="231"/>
    </row>
    <row r="90" spans="1:6" s="137" customFormat="1" ht="10.199999999999999" x14ac:dyDescent="0.25">
      <c r="A90" s="231"/>
      <c r="B90" s="231"/>
      <c r="C90" s="231"/>
      <c r="D90" s="231"/>
      <c r="E90" s="231"/>
      <c r="F90" s="231"/>
    </row>
    <row r="91" spans="1:6" s="137" customFormat="1" ht="10.199999999999999" x14ac:dyDescent="0.25">
      <c r="A91" s="231"/>
      <c r="B91" s="231"/>
      <c r="C91" s="231"/>
      <c r="D91" s="231"/>
      <c r="E91" s="231"/>
      <c r="F91" s="231"/>
    </row>
    <row r="92" spans="1:6" s="137" customFormat="1" ht="10.199999999999999" x14ac:dyDescent="0.25">
      <c r="A92" s="231"/>
      <c r="B92" s="231"/>
      <c r="C92" s="231"/>
      <c r="D92" s="231"/>
      <c r="E92" s="231"/>
      <c r="F92" s="231"/>
    </row>
    <row r="93" spans="1:6" s="137" customFormat="1" ht="10.199999999999999" x14ac:dyDescent="0.25">
      <c r="A93" s="231"/>
      <c r="B93" s="231"/>
      <c r="C93" s="231"/>
      <c r="D93" s="231"/>
      <c r="E93" s="231"/>
      <c r="F93" s="231"/>
    </row>
    <row r="94" spans="1:6" s="137" customFormat="1" ht="10.199999999999999" x14ac:dyDescent="0.25">
      <c r="A94" s="231"/>
      <c r="B94" s="231"/>
      <c r="C94" s="231"/>
      <c r="D94" s="231"/>
      <c r="E94" s="231"/>
      <c r="F94" s="231"/>
    </row>
    <row r="95" spans="1:6" s="137" customFormat="1" ht="10.199999999999999" x14ac:dyDescent="0.25">
      <c r="A95" s="231"/>
      <c r="B95" s="231"/>
      <c r="C95" s="231"/>
      <c r="D95" s="231"/>
      <c r="E95" s="231"/>
      <c r="F95" s="231"/>
    </row>
    <row r="96" spans="1:6" s="137" customFormat="1" ht="10.199999999999999" x14ac:dyDescent="0.25">
      <c r="A96" s="231"/>
      <c r="B96" s="231"/>
      <c r="C96" s="231"/>
      <c r="D96" s="231"/>
      <c r="E96" s="231"/>
      <c r="F96" s="231"/>
    </row>
    <row r="97" spans="1:6" s="137" customFormat="1" ht="10.199999999999999" x14ac:dyDescent="0.25">
      <c r="A97" s="231"/>
      <c r="B97" s="231"/>
      <c r="C97" s="231"/>
      <c r="D97" s="231"/>
      <c r="E97" s="231"/>
      <c r="F97" s="231"/>
    </row>
    <row r="98" spans="1:6" s="137" customFormat="1" ht="10.199999999999999" x14ac:dyDescent="0.25">
      <c r="A98" s="231"/>
      <c r="B98" s="231"/>
      <c r="C98" s="231"/>
      <c r="D98" s="231"/>
      <c r="E98" s="231"/>
      <c r="F98" s="231"/>
    </row>
    <row r="99" spans="1:6" s="137" customFormat="1" ht="10.199999999999999" x14ac:dyDescent="0.25">
      <c r="A99" s="231"/>
      <c r="B99" s="231"/>
      <c r="C99" s="231"/>
      <c r="D99" s="231"/>
      <c r="E99" s="231"/>
      <c r="F99" s="231"/>
    </row>
    <row r="100" spans="1:6" s="137" customFormat="1" ht="10.199999999999999" x14ac:dyDescent="0.25">
      <c r="A100" s="231"/>
      <c r="B100" s="231"/>
      <c r="C100" s="231"/>
      <c r="D100" s="231"/>
      <c r="E100" s="231"/>
      <c r="F100" s="231"/>
    </row>
    <row r="101" spans="1:6" s="137" customFormat="1" ht="10.199999999999999" x14ac:dyDescent="0.25">
      <c r="A101" s="231"/>
      <c r="B101" s="231"/>
      <c r="C101" s="231"/>
      <c r="D101" s="231"/>
      <c r="E101" s="231"/>
      <c r="F101" s="231"/>
    </row>
    <row r="102" spans="1:6" s="137" customFormat="1" ht="10.199999999999999" x14ac:dyDescent="0.25">
      <c r="A102" s="231"/>
      <c r="B102" s="231"/>
      <c r="C102" s="231"/>
      <c r="D102" s="231"/>
      <c r="E102" s="231"/>
      <c r="F102" s="231"/>
    </row>
    <row r="103" spans="1:6" s="137" customFormat="1" ht="10.199999999999999" x14ac:dyDescent="0.25">
      <c r="A103" s="231"/>
      <c r="B103" s="231"/>
      <c r="C103" s="231"/>
      <c r="D103" s="231"/>
      <c r="E103" s="231"/>
      <c r="F103" s="231"/>
    </row>
    <row r="104" spans="1:6" s="137" customFormat="1" ht="10.199999999999999" x14ac:dyDescent="0.25">
      <c r="A104" s="231"/>
      <c r="B104" s="231"/>
      <c r="C104" s="231"/>
      <c r="D104" s="231"/>
      <c r="E104" s="231"/>
      <c r="F104" s="231"/>
    </row>
    <row r="105" spans="1:6" s="137" customFormat="1" ht="10.199999999999999" x14ac:dyDescent="0.25">
      <c r="A105" s="231"/>
      <c r="B105" s="231"/>
      <c r="C105" s="231"/>
      <c r="D105" s="231"/>
      <c r="E105" s="231"/>
      <c r="F105" s="231"/>
    </row>
    <row r="106" spans="1:6" s="137" customFormat="1" ht="10.199999999999999" x14ac:dyDescent="0.25">
      <c r="A106" s="231"/>
      <c r="B106" s="231"/>
      <c r="C106" s="231"/>
      <c r="D106" s="231"/>
      <c r="E106" s="231"/>
      <c r="F106" s="231"/>
    </row>
    <row r="107" spans="1:6" s="137" customFormat="1" ht="10.199999999999999" x14ac:dyDescent="0.25">
      <c r="A107" s="231"/>
      <c r="D107" s="445"/>
      <c r="E107" s="231"/>
    </row>
    <row r="108" spans="1:6" s="137" customFormat="1" ht="10.199999999999999" x14ac:dyDescent="0.25">
      <c r="A108" s="231"/>
      <c r="D108" s="318"/>
      <c r="E108" s="321"/>
    </row>
    <row r="109" spans="1:6" s="137" customFormat="1" ht="10.199999999999999" x14ac:dyDescent="0.25"/>
  </sheetData>
  <phoneticPr fontId="50" type="noConversion"/>
  <pageMargins left="0.7" right="0.7" top="0.75" bottom="0.75" header="0.3" footer="0.3"/>
  <pageSetup paperSize="9" scale="64" orientation="portrait" r:id="rId1"/>
  <headerFooter alignWithMargins="0"/>
  <colBreaks count="1" manualBreakCount="1">
    <brk id="6" min="1" max="14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I36"/>
  <sheetViews>
    <sheetView showGridLines="0" view="pageBreakPreview" zoomScaleNormal="100" zoomScaleSheetLayoutView="100" workbookViewId="0">
      <selection activeCell="A37" sqref="A37:XFD47"/>
    </sheetView>
  </sheetViews>
  <sheetFormatPr defaultColWidth="9.33203125" defaultRowHeight="13.2" x14ac:dyDescent="0.25"/>
  <cols>
    <col min="1" max="1" width="39" customWidth="1"/>
    <col min="2" max="2" width="15.33203125" customWidth="1"/>
    <col min="3" max="3" width="15" customWidth="1"/>
    <col min="4" max="4" width="14.44140625" customWidth="1"/>
    <col min="5" max="5" width="11" customWidth="1"/>
    <col min="6" max="6" width="10.5546875" customWidth="1"/>
    <col min="7" max="7" width="11.44140625" customWidth="1"/>
    <col min="8" max="8" width="10.44140625" customWidth="1"/>
  </cols>
  <sheetData>
    <row r="1" spans="1:9" x14ac:dyDescent="0.25">
      <c r="A1" s="38"/>
    </row>
    <row r="2" spans="1:9" s="44" customFormat="1" x14ac:dyDescent="0.25">
      <c r="A2" s="399" t="s">
        <v>1079</v>
      </c>
    </row>
    <row r="3" spans="1:9" s="44" customFormat="1" ht="10.199999999999999" x14ac:dyDescent="0.2">
      <c r="A3" s="3"/>
    </row>
    <row r="4" spans="1:9" s="44" customFormat="1" ht="10.199999999999999" x14ac:dyDescent="0.2">
      <c r="A4" s="52" t="s">
        <v>337</v>
      </c>
    </row>
    <row r="5" spans="1:9" s="44" customFormat="1" ht="10.199999999999999" x14ac:dyDescent="0.2">
      <c r="A5" s="52"/>
    </row>
    <row r="6" spans="1:9" s="44" customFormat="1" ht="10.199999999999999" x14ac:dyDescent="0.2">
      <c r="A6" s="101" t="s">
        <v>316</v>
      </c>
      <c r="B6" s="435">
        <f>Pasywa!D2</f>
        <v>44196</v>
      </c>
      <c r="C6" s="435">
        <v>43830</v>
      </c>
    </row>
    <row r="7" spans="1:9" s="44" customFormat="1" ht="10.199999999999999" x14ac:dyDescent="0.2">
      <c r="A7" s="385" t="s">
        <v>337</v>
      </c>
      <c r="B7" s="386">
        <f>SUM(B8:B9)</f>
        <v>6204158</v>
      </c>
      <c r="C7" s="386">
        <f>SUM(C8:C9)</f>
        <v>6634704</v>
      </c>
    </row>
    <row r="8" spans="1:9" s="44" customFormat="1" ht="10.199999999999999" x14ac:dyDescent="0.2">
      <c r="A8" s="68" t="s">
        <v>476</v>
      </c>
      <c r="B8" s="207">
        <v>0</v>
      </c>
      <c r="C8" s="207">
        <v>0</v>
      </c>
    </row>
    <row r="9" spans="1:9" s="44" customFormat="1" ht="10.199999999999999" x14ac:dyDescent="0.2">
      <c r="A9" s="68" t="s">
        <v>477</v>
      </c>
      <c r="B9" s="207">
        <v>6204158</v>
      </c>
      <c r="C9" s="207">
        <f>6864024-229320</f>
        <v>6634704</v>
      </c>
    </row>
    <row r="10" spans="1:9" s="44" customFormat="1" ht="10.199999999999999" x14ac:dyDescent="0.2">
      <c r="A10" s="172"/>
      <c r="B10" s="314">
        <f>B7-Pasywa!D23</f>
        <v>0</v>
      </c>
      <c r="C10" s="314">
        <f>C7-Pasywa!E23</f>
        <v>0</v>
      </c>
    </row>
    <row r="11" spans="1:9" s="44" customFormat="1" ht="10.199999999999999" x14ac:dyDescent="0.2">
      <c r="A11" s="173"/>
      <c r="B11" s="499"/>
      <c r="C11" s="499"/>
    </row>
    <row r="12" spans="1:9" x14ac:dyDescent="0.25">
      <c r="B12" s="565"/>
      <c r="C12" s="565"/>
      <c r="D12" s="565"/>
      <c r="E12" s="565"/>
      <c r="F12" s="565"/>
      <c r="G12" s="565"/>
      <c r="H12" s="565"/>
      <c r="I12" s="565"/>
    </row>
    <row r="13" spans="1:9" s="44" customFormat="1" x14ac:dyDescent="0.25">
      <c r="A13" s="399" t="s">
        <v>1080</v>
      </c>
    </row>
    <row r="14" spans="1:9" s="44" customFormat="1" ht="10.199999999999999" x14ac:dyDescent="0.2">
      <c r="A14" s="3"/>
    </row>
    <row r="15" spans="1:9" s="44" customFormat="1" ht="10.199999999999999" x14ac:dyDescent="0.2">
      <c r="A15" s="172" t="s">
        <v>439</v>
      </c>
      <c r="B15" s="499"/>
      <c r="C15" s="499"/>
    </row>
    <row r="16" spans="1:9" s="44" customFormat="1" ht="10.199999999999999" x14ac:dyDescent="0.2">
      <c r="A16" s="170"/>
      <c r="B16" s="171"/>
      <c r="C16" s="171"/>
    </row>
    <row r="17" spans="1:3" s="44" customFormat="1" ht="10.199999999999999" x14ac:dyDescent="0.2">
      <c r="A17" s="101" t="s">
        <v>316</v>
      </c>
      <c r="B17" s="435">
        <f>B6</f>
        <v>44196</v>
      </c>
      <c r="C17" s="435">
        <f>C6</f>
        <v>43830</v>
      </c>
    </row>
    <row r="18" spans="1:3" s="44" customFormat="1" ht="35.25" customHeight="1" x14ac:dyDescent="0.2">
      <c r="A18" s="89" t="s">
        <v>186</v>
      </c>
      <c r="B18" s="129">
        <f>SUM(B19:B26)</f>
        <v>1427191.83</v>
      </c>
      <c r="C18" s="129">
        <f>SUM(C19:C26)</f>
        <v>1062855</v>
      </c>
    </row>
    <row r="19" spans="1:3" s="44" customFormat="1" ht="10.199999999999999" x14ac:dyDescent="0.2">
      <c r="A19" s="174" t="s">
        <v>478</v>
      </c>
      <c r="B19" s="207">
        <f>131739+123579+128803</f>
        <v>384121</v>
      </c>
      <c r="C19" s="207">
        <v>183821</v>
      </c>
    </row>
    <row r="20" spans="1:3" s="44" customFormat="1" ht="10.199999999999999" x14ac:dyDescent="0.2">
      <c r="A20" s="174" t="s">
        <v>479</v>
      </c>
      <c r="B20" s="207">
        <f>3303+2777+399+6660</f>
        <v>13139</v>
      </c>
      <c r="C20" s="207">
        <v>8154</v>
      </c>
    </row>
    <row r="21" spans="1:3" s="44" customFormat="1" ht="10.199999999999999" x14ac:dyDescent="0.2">
      <c r="A21" s="174" t="s">
        <v>480</v>
      </c>
      <c r="B21" s="207">
        <f>15773+13675+43593+95432+41860+4846.89</f>
        <v>215179.89</v>
      </c>
      <c r="C21" s="207">
        <f>218906-8729</f>
        <v>210177</v>
      </c>
    </row>
    <row r="22" spans="1:3" s="44" customFormat="1" ht="10.199999999999999" x14ac:dyDescent="0.2">
      <c r="A22" s="174" t="s">
        <v>648</v>
      </c>
      <c r="B22" s="207">
        <f>1033+3858+4283</f>
        <v>9174</v>
      </c>
      <c r="C22" s="207">
        <v>8281</v>
      </c>
    </row>
    <row r="23" spans="1:3" s="44" customFormat="1" ht="10.199999999999999" x14ac:dyDescent="0.2">
      <c r="A23" s="174" t="s">
        <v>442</v>
      </c>
      <c r="B23" s="207">
        <f>51569+28640+176100+255083+104213+166205+23767.94</f>
        <v>805577.94</v>
      </c>
      <c r="C23" s="207">
        <f>697307-44885</f>
        <v>652422</v>
      </c>
    </row>
    <row r="24" spans="1:3" s="44" customFormat="1" ht="10.199999999999999" hidden="1" x14ac:dyDescent="0.2">
      <c r="A24" s="174" t="s">
        <v>444</v>
      </c>
      <c r="B24" s="207">
        <v>0</v>
      </c>
      <c r="C24" s="207">
        <v>0</v>
      </c>
    </row>
    <row r="25" spans="1:3" s="44" customFormat="1" ht="10.199999999999999" hidden="1" x14ac:dyDescent="0.2">
      <c r="A25" s="174" t="s">
        <v>443</v>
      </c>
      <c r="B25" s="207">
        <v>0</v>
      </c>
      <c r="C25" s="207">
        <v>0</v>
      </c>
    </row>
    <row r="26" spans="1:3" s="44" customFormat="1" ht="10.199999999999999" hidden="1" x14ac:dyDescent="0.2">
      <c r="A26" s="174" t="s">
        <v>528</v>
      </c>
      <c r="B26" s="207">
        <v>0</v>
      </c>
      <c r="C26" s="207">
        <v>0</v>
      </c>
    </row>
    <row r="27" spans="1:3" s="44" customFormat="1" ht="10.199999999999999" x14ac:dyDescent="0.2">
      <c r="A27" s="150" t="s">
        <v>481</v>
      </c>
      <c r="B27" s="129">
        <f>B28+B32</f>
        <v>686302.05</v>
      </c>
      <c r="C27" s="129">
        <f>SUM(C28:C32)</f>
        <v>903339</v>
      </c>
    </row>
    <row r="28" spans="1:3" s="44" customFormat="1" ht="20.399999999999999" x14ac:dyDescent="0.2">
      <c r="A28" s="174" t="s">
        <v>482</v>
      </c>
      <c r="B28" s="207">
        <f>41716+239028+354197+46835.05+1</f>
        <v>681777.05</v>
      </c>
      <c r="C28" s="207">
        <f>942680-42625</f>
        <v>900055</v>
      </c>
    </row>
    <row r="29" spans="1:3" s="44" customFormat="1" ht="10.199999999999999" hidden="1" x14ac:dyDescent="0.2">
      <c r="A29" s="174" t="s">
        <v>483</v>
      </c>
      <c r="B29" s="207">
        <v>0</v>
      </c>
      <c r="C29" s="207">
        <v>0</v>
      </c>
    </row>
    <row r="30" spans="1:3" s="44" customFormat="1" ht="23.25" hidden="1" customHeight="1" x14ac:dyDescent="0.2">
      <c r="A30" s="174" t="s">
        <v>484</v>
      </c>
      <c r="B30" s="207">
        <v>0</v>
      </c>
      <c r="C30" s="207">
        <v>0</v>
      </c>
    </row>
    <row r="31" spans="1:3" s="44" customFormat="1" ht="23.25" hidden="1" customHeight="1" x14ac:dyDescent="0.2">
      <c r="A31" s="174" t="s">
        <v>649</v>
      </c>
      <c r="B31" s="207">
        <v>0</v>
      </c>
      <c r="C31" s="207">
        <v>0</v>
      </c>
    </row>
    <row r="32" spans="1:3" s="44" customFormat="1" ht="10.199999999999999" x14ac:dyDescent="0.2">
      <c r="A32" s="174" t="s">
        <v>485</v>
      </c>
      <c r="B32" s="207">
        <f>2124+2401</f>
        <v>4525</v>
      </c>
      <c r="C32" s="207">
        <v>3284</v>
      </c>
    </row>
    <row r="33" spans="1:9" s="44" customFormat="1" ht="10.199999999999999" hidden="1" x14ac:dyDescent="0.2">
      <c r="A33" s="150" t="s">
        <v>445</v>
      </c>
      <c r="B33" s="129"/>
      <c r="C33" s="129"/>
    </row>
    <row r="34" spans="1:9" s="44" customFormat="1" ht="10.199999999999999" x14ac:dyDescent="0.2">
      <c r="A34" s="149" t="s">
        <v>203</v>
      </c>
      <c r="B34" s="90">
        <f>B18+B27</f>
        <v>2113493.88</v>
      </c>
      <c r="C34" s="90">
        <f>C18+C27+C33</f>
        <v>1966194</v>
      </c>
    </row>
    <row r="35" spans="1:9" s="44" customFormat="1" ht="10.199999999999999" x14ac:dyDescent="0.2">
      <c r="B35" s="314">
        <f>B34-Pasywa!D25</f>
        <v>-0.12000000011175871</v>
      </c>
      <c r="C35" s="314">
        <f>C34-Pasywa!E25</f>
        <v>0</v>
      </c>
      <c r="E35" s="670"/>
      <c r="F35" s="670"/>
      <c r="G35" s="670"/>
      <c r="H35" s="670"/>
      <c r="I35" s="670"/>
    </row>
    <row r="36" spans="1:9" x14ac:dyDescent="0.25">
      <c r="E36" s="670"/>
      <c r="F36" s="670"/>
      <c r="G36" s="670"/>
      <c r="H36" s="670"/>
      <c r="I36" s="670"/>
    </row>
  </sheetData>
  <phoneticPr fontId="33" type="noConversion"/>
  <pageMargins left="0.75" right="0.75" top="1" bottom="1" header="0.5" footer="0.5"/>
  <pageSetup paperSize="9" scale="6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activeCell="C21" sqref="C21"/>
    </sheetView>
  </sheetViews>
  <sheetFormatPr defaultColWidth="9.33203125" defaultRowHeight="13.2" x14ac:dyDescent="0.25"/>
  <cols>
    <col min="1" max="1" width="50.44140625" customWidth="1"/>
    <col min="2" max="5" width="16.5546875" customWidth="1"/>
    <col min="7" max="7" width="10" customWidth="1"/>
    <col min="8" max="8" width="10.33203125" customWidth="1"/>
    <col min="9" max="9" width="10.44140625" customWidth="1"/>
  </cols>
  <sheetData>
    <row r="1" spans="1:3" x14ac:dyDescent="0.25">
      <c r="A1" s="38"/>
    </row>
    <row r="2" spans="1:3" s="1" customFormat="1" x14ac:dyDescent="0.25">
      <c r="A2" s="399" t="s">
        <v>1081</v>
      </c>
    </row>
    <row r="3" spans="1:3" s="1" customFormat="1" ht="10.199999999999999" x14ac:dyDescent="0.2"/>
    <row r="4" spans="1:3" s="1" customFormat="1" ht="10.199999999999999" x14ac:dyDescent="0.2">
      <c r="A4" s="115" t="s">
        <v>316</v>
      </c>
      <c r="B4" s="435">
        <f>'Dane podstawowe'!$B$9</f>
        <v>44196</v>
      </c>
      <c r="C4" s="435">
        <f>'Dane podstawowe'!$B$14</f>
        <v>43830</v>
      </c>
    </row>
    <row r="5" spans="1:3" s="1" customFormat="1" ht="10.199999999999999" x14ac:dyDescent="0.2">
      <c r="A5" s="175" t="s">
        <v>615</v>
      </c>
      <c r="B5" s="90">
        <f>SUM(B6:B9)</f>
        <v>1438239</v>
      </c>
      <c r="C5" s="90">
        <f>SUM(C6:C9)</f>
        <v>832242</v>
      </c>
    </row>
    <row r="6" spans="1:3" s="44" customFormat="1" ht="10.199999999999999" x14ac:dyDescent="0.2">
      <c r="A6" s="46" t="s">
        <v>119</v>
      </c>
      <c r="B6" s="207">
        <v>613084</v>
      </c>
      <c r="C6" s="207">
        <v>335427</v>
      </c>
    </row>
    <row r="7" spans="1:3" s="1" customFormat="1" ht="10.199999999999999" x14ac:dyDescent="0.2">
      <c r="A7" s="46" t="s">
        <v>700</v>
      </c>
      <c r="B7" s="207">
        <v>825155</v>
      </c>
      <c r="C7" s="207">
        <v>496815</v>
      </c>
    </row>
    <row r="8" spans="1:3" s="44" customFormat="1" ht="10.199999999999999" hidden="1" x14ac:dyDescent="0.2">
      <c r="A8" s="49" t="s">
        <v>613</v>
      </c>
      <c r="B8" s="207"/>
      <c r="C8" s="207"/>
    </row>
    <row r="9" spans="1:3" s="41" customFormat="1" ht="10.199999999999999" hidden="1" x14ac:dyDescent="0.2">
      <c r="A9" s="46" t="s">
        <v>680</v>
      </c>
      <c r="B9" s="207">
        <v>0</v>
      </c>
      <c r="C9" s="207">
        <v>0</v>
      </c>
    </row>
    <row r="10" spans="1:3" s="1" customFormat="1" ht="10.199999999999999" x14ac:dyDescent="0.2">
      <c r="A10" s="56" t="s">
        <v>615</v>
      </c>
      <c r="B10" s="90">
        <f>B5</f>
        <v>1438239</v>
      </c>
      <c r="C10" s="90">
        <f>C5</f>
        <v>832242</v>
      </c>
    </row>
    <row r="11" spans="1:3" s="1" customFormat="1" ht="10.199999999999999" x14ac:dyDescent="0.2">
      <c r="A11" s="55" t="s">
        <v>378</v>
      </c>
      <c r="B11" s="207">
        <v>0</v>
      </c>
      <c r="C11" s="207">
        <v>0</v>
      </c>
    </row>
    <row r="12" spans="1:3" s="1" customFormat="1" ht="10.199999999999999" x14ac:dyDescent="0.2">
      <c r="A12" s="55" t="s">
        <v>377</v>
      </c>
      <c r="B12" s="207">
        <f>B10</f>
        <v>1438239</v>
      </c>
      <c r="C12" s="207">
        <v>832242</v>
      </c>
    </row>
    <row r="13" spans="1:3" s="1" customFormat="1" ht="10.199999999999999" x14ac:dyDescent="0.2">
      <c r="B13" s="309">
        <f>Pasywa!D26-'NOTA 28 - RMP'!B10+Pasywa!D17</f>
        <v>0</v>
      </c>
      <c r="C13" s="309">
        <f>Pasywa!E26-'NOTA 28 - RMP'!C10+Pasywa!E17</f>
        <v>0</v>
      </c>
    </row>
    <row r="16" spans="1:3" x14ac:dyDescent="0.25">
      <c r="A16" s="730" t="s">
        <v>1024</v>
      </c>
      <c r="B16" s="730" t="s">
        <v>843</v>
      </c>
      <c r="C16" s="731" t="s">
        <v>756</v>
      </c>
    </row>
    <row r="17" spans="1:3" ht="21" x14ac:dyDescent="0.25">
      <c r="A17" s="722" t="s">
        <v>1054</v>
      </c>
      <c r="B17" s="720">
        <v>247084</v>
      </c>
      <c r="C17" s="720">
        <v>335427</v>
      </c>
    </row>
    <row r="18" spans="1:3" ht="21" x14ac:dyDescent="0.25">
      <c r="A18" s="722" t="s">
        <v>1040</v>
      </c>
      <c r="B18" s="720">
        <v>366000</v>
      </c>
      <c r="C18" s="720">
        <v>0</v>
      </c>
    </row>
    <row r="19" spans="1:3" x14ac:dyDescent="0.25">
      <c r="A19" s="727" t="s">
        <v>1023</v>
      </c>
      <c r="B19" s="721">
        <f>SUM(B17:B18)</f>
        <v>613084</v>
      </c>
      <c r="C19" s="721">
        <f>SUM(C17:C18)</f>
        <v>335427</v>
      </c>
    </row>
  </sheetData>
  <phoneticPr fontId="36" type="noConversion"/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F71"/>
  <sheetViews>
    <sheetView showGridLines="0" view="pageBreakPreview" topLeftCell="A13" zoomScaleNormal="100" zoomScaleSheetLayoutView="100" workbookViewId="0">
      <selection activeCell="A24" sqref="A24"/>
    </sheetView>
  </sheetViews>
  <sheetFormatPr defaultColWidth="9.33203125" defaultRowHeight="10.199999999999999" x14ac:dyDescent="0.2"/>
  <cols>
    <col min="1" max="1" width="54.6640625" style="41" customWidth="1"/>
    <col min="2" max="2" width="14.6640625" style="41" customWidth="1"/>
    <col min="3" max="3" width="12.88671875" style="41" customWidth="1"/>
    <col min="4" max="4" width="14.33203125" style="41" customWidth="1"/>
    <col min="5" max="5" width="12.5546875" style="41" customWidth="1"/>
    <col min="6" max="6" width="11.6640625" style="41" customWidth="1"/>
    <col min="7" max="7" width="19" style="41" customWidth="1"/>
    <col min="8" max="16384" width="9.33203125" style="41"/>
  </cols>
  <sheetData>
    <row r="1" spans="1:6" s="44" customFormat="1" x14ac:dyDescent="0.2">
      <c r="A1" s="178"/>
    </row>
    <row r="2" spans="1:6" ht="13.2" x14ac:dyDescent="0.25">
      <c r="A2" s="399" t="s">
        <v>1082</v>
      </c>
    </row>
    <row r="4" spans="1:6" s="1" customFormat="1" x14ac:dyDescent="0.2">
      <c r="A4" s="237"/>
      <c r="B4" s="435">
        <f>Pasywa!D2</f>
        <v>44196</v>
      </c>
      <c r="C4" s="435">
        <v>43830</v>
      </c>
    </row>
    <row r="5" spans="1:6" s="1" customFormat="1" x14ac:dyDescent="0.2">
      <c r="A5" s="223" t="s">
        <v>280</v>
      </c>
      <c r="B5" s="636">
        <f>[8]SARE!B5+[8]INIS!B5+[8]JU!B5+[8]VT!B5+[8]SI!B5+[8]FWC!B5+[8]SL!B5+[8]CB!B5</f>
        <v>0</v>
      </c>
      <c r="C5" s="235">
        <v>0</v>
      </c>
    </row>
    <row r="6" spans="1:6" s="1" customFormat="1" x14ac:dyDescent="0.2">
      <c r="A6" s="223" t="s">
        <v>18</v>
      </c>
      <c r="B6" s="636">
        <f>[8]SARE!B6+[8]INIS!B6+[8]JU!B6+[8]VT!B6+[8]SI!B6+[8]FWC!B6+[8]SL!B6+[8]CB!B6</f>
        <v>0</v>
      </c>
      <c r="C6" s="235">
        <v>0</v>
      </c>
    </row>
    <row r="7" spans="1:6" s="1" customFormat="1" x14ac:dyDescent="0.2">
      <c r="A7" s="223" t="s">
        <v>19</v>
      </c>
      <c r="B7" s="636">
        <v>597140</v>
      </c>
      <c r="C7" s="235">
        <v>410635</v>
      </c>
      <c r="D7" s="245"/>
    </row>
    <row r="8" spans="1:6" s="1" customFormat="1" x14ac:dyDescent="0.2">
      <c r="A8" s="223" t="s">
        <v>20</v>
      </c>
      <c r="B8" s="636">
        <v>313679</v>
      </c>
      <c r="C8" s="235">
        <v>51375</v>
      </c>
    </row>
    <row r="9" spans="1:6" x14ac:dyDescent="0.2">
      <c r="A9" s="50" t="s">
        <v>21</v>
      </c>
      <c r="B9" s="45">
        <f>SUM(B5:B8)</f>
        <v>910819</v>
      </c>
      <c r="C9" s="45">
        <f>SUM(C5:C8)</f>
        <v>462010</v>
      </c>
    </row>
    <row r="10" spans="1:6" x14ac:dyDescent="0.2">
      <c r="A10" s="203" t="s">
        <v>86</v>
      </c>
      <c r="B10" s="234">
        <v>0</v>
      </c>
      <c r="C10" s="234">
        <v>0</v>
      </c>
    </row>
    <row r="11" spans="1:6" x14ac:dyDescent="0.2">
      <c r="A11" s="203" t="s">
        <v>87</v>
      </c>
      <c r="B11" s="234">
        <f>B9</f>
        <v>910819</v>
      </c>
      <c r="C11" s="234">
        <v>462010</v>
      </c>
    </row>
    <row r="12" spans="1:6" x14ac:dyDescent="0.2">
      <c r="B12" s="305">
        <f>(Pasywa!D18+Pasywa!D27)-'NOTA 29,30 - Rezerwy'!B9</f>
        <v>0</v>
      </c>
      <c r="C12" s="305">
        <f>(Pasywa!E18+Pasywa!E27)-'NOTA 29,30 - Rezerwy'!C9</f>
        <v>0</v>
      </c>
    </row>
    <row r="13" spans="1:6" x14ac:dyDescent="0.2">
      <c r="B13" s="224"/>
      <c r="C13" s="224"/>
    </row>
    <row r="14" spans="1:6" x14ac:dyDescent="0.2">
      <c r="A14" s="681" t="s">
        <v>350</v>
      </c>
    </row>
    <row r="16" spans="1:6" s="42" customFormat="1" ht="40.799999999999997" x14ac:dyDescent="0.25">
      <c r="A16" s="503"/>
      <c r="B16" s="71" t="s">
        <v>280</v>
      </c>
      <c r="C16" s="71" t="s">
        <v>18</v>
      </c>
      <c r="D16" s="71" t="s">
        <v>19</v>
      </c>
      <c r="E16" s="71" t="s">
        <v>22</v>
      </c>
      <c r="F16" s="572" t="s">
        <v>376</v>
      </c>
    </row>
    <row r="17" spans="1:6" s="52" customFormat="1" x14ac:dyDescent="0.2">
      <c r="A17" s="57" t="s">
        <v>914</v>
      </c>
      <c r="B17" s="45">
        <v>0</v>
      </c>
      <c r="C17" s="45">
        <f>C28</f>
        <v>0</v>
      </c>
      <c r="D17" s="45">
        <f>D28</f>
        <v>410635</v>
      </c>
      <c r="E17" s="45">
        <f>E28</f>
        <v>51375</v>
      </c>
      <c r="F17" s="571">
        <f>B17+C17+D17+E17</f>
        <v>462010</v>
      </c>
    </row>
    <row r="18" spans="1:6" x14ac:dyDescent="0.2">
      <c r="A18" s="232" t="s">
        <v>23</v>
      </c>
      <c r="B18" s="234">
        <v>0</v>
      </c>
      <c r="C18" s="234">
        <v>0</v>
      </c>
      <c r="D18" s="676">
        <v>388776</v>
      </c>
      <c r="E18" s="169">
        <v>946304</v>
      </c>
      <c r="F18" s="571">
        <f t="shared" ref="F18:F20" si="0">B18+C18+D18+E18</f>
        <v>1335080</v>
      </c>
    </row>
    <row r="19" spans="1:6" x14ac:dyDescent="0.2">
      <c r="A19" s="232" t="s">
        <v>370</v>
      </c>
      <c r="B19" s="234">
        <v>0</v>
      </c>
      <c r="C19" s="234">
        <v>0</v>
      </c>
      <c r="D19" s="573">
        <v>59883</v>
      </c>
      <c r="E19" s="169">
        <v>215317</v>
      </c>
      <c r="F19" s="571">
        <f t="shared" si="0"/>
        <v>275200</v>
      </c>
    </row>
    <row r="20" spans="1:6" x14ac:dyDescent="0.2">
      <c r="A20" s="232" t="s">
        <v>371</v>
      </c>
      <c r="B20" s="234">
        <v>0</v>
      </c>
      <c r="C20" s="234">
        <v>0</v>
      </c>
      <c r="D20" s="677">
        <v>142388</v>
      </c>
      <c r="E20" s="636">
        <v>468683</v>
      </c>
      <c r="F20" s="571">
        <f t="shared" si="0"/>
        <v>611071</v>
      </c>
    </row>
    <row r="21" spans="1:6" s="52" customFormat="1" x14ac:dyDescent="0.2">
      <c r="A21" s="57" t="s">
        <v>915</v>
      </c>
      <c r="B21" s="45">
        <f>B17+B18-B19-B20</f>
        <v>0</v>
      </c>
      <c r="C21" s="45">
        <f>C17+C18-C19-C20</f>
        <v>0</v>
      </c>
      <c r="D21" s="45">
        <f>D17+D18-D19-D20</f>
        <v>597140</v>
      </c>
      <c r="E21" s="45">
        <f>E17+E18-E19-E20</f>
        <v>313679</v>
      </c>
      <c r="F21" s="571">
        <f>F17+F18-F19-F20</f>
        <v>910819</v>
      </c>
    </row>
    <row r="22" spans="1:6" x14ac:dyDescent="0.2">
      <c r="A22" s="203" t="s">
        <v>86</v>
      </c>
      <c r="B22" s="234">
        <v>0</v>
      </c>
      <c r="C22" s="234">
        <v>0</v>
      </c>
      <c r="D22" s="234">
        <v>0</v>
      </c>
      <c r="E22" s="238">
        <v>0</v>
      </c>
      <c r="F22" s="238">
        <v>0</v>
      </c>
    </row>
    <row r="23" spans="1:6" x14ac:dyDescent="0.2">
      <c r="A23" s="203" t="s">
        <v>87</v>
      </c>
      <c r="B23" s="234">
        <v>0</v>
      </c>
      <c r="C23" s="234">
        <v>0</v>
      </c>
      <c r="D23" s="234">
        <f>D21</f>
        <v>597140</v>
      </c>
      <c r="E23" s="234">
        <f>E21</f>
        <v>313679</v>
      </c>
      <c r="F23" s="234">
        <f>F21</f>
        <v>910819</v>
      </c>
    </row>
    <row r="24" spans="1:6" s="52" customFormat="1" x14ac:dyDescent="0.2">
      <c r="A24" s="57" t="s">
        <v>916</v>
      </c>
      <c r="B24" s="90">
        <v>0</v>
      </c>
      <c r="C24" s="90">
        <v>0</v>
      </c>
      <c r="D24" s="90">
        <v>377434</v>
      </c>
      <c r="E24" s="90">
        <v>4601</v>
      </c>
      <c r="F24" s="90">
        <f>D24+E24</f>
        <v>382035</v>
      </c>
    </row>
    <row r="25" spans="1:6" x14ac:dyDescent="0.2">
      <c r="A25" s="232" t="s">
        <v>23</v>
      </c>
      <c r="B25" s="212">
        <v>0</v>
      </c>
      <c r="C25" s="212">
        <v>0</v>
      </c>
      <c r="D25" s="212">
        <v>142582</v>
      </c>
      <c r="E25" s="637">
        <v>1461027</v>
      </c>
      <c r="F25" s="90">
        <f t="shared" ref="F25:F27" si="1">D25+E25</f>
        <v>1603609</v>
      </c>
    </row>
    <row r="26" spans="1:6" x14ac:dyDescent="0.2">
      <c r="A26" s="232" t="s">
        <v>370</v>
      </c>
      <c r="B26" s="212">
        <v>0</v>
      </c>
      <c r="C26" s="212">
        <v>0</v>
      </c>
      <c r="D26" s="212">
        <v>58358</v>
      </c>
      <c r="E26" s="212">
        <v>1319996</v>
      </c>
      <c r="F26" s="90">
        <f t="shared" si="1"/>
        <v>1378354</v>
      </c>
    </row>
    <row r="27" spans="1:6" x14ac:dyDescent="0.2">
      <c r="A27" s="232" t="s">
        <v>371</v>
      </c>
      <c r="B27" s="212">
        <v>0</v>
      </c>
      <c r="C27" s="212">
        <v>0</v>
      </c>
      <c r="D27" s="212">
        <v>51023</v>
      </c>
      <c r="E27" s="637">
        <v>94257</v>
      </c>
      <c r="F27" s="90">
        <f t="shared" si="1"/>
        <v>145280</v>
      </c>
    </row>
    <row r="28" spans="1:6" s="52" customFormat="1" x14ac:dyDescent="0.2">
      <c r="A28" s="57" t="s">
        <v>783</v>
      </c>
      <c r="B28" s="90">
        <f>B24+B25-B26-B27</f>
        <v>0</v>
      </c>
      <c r="C28" s="90">
        <f>C24+C25-C26-C27</f>
        <v>0</v>
      </c>
      <c r="D28" s="90">
        <f>D24+D25-D26-D27</f>
        <v>410635</v>
      </c>
      <c r="E28" s="90">
        <f>E24+E25-E26-E27</f>
        <v>51375</v>
      </c>
      <c r="F28" s="90">
        <f>F24+F25-F26-F27</f>
        <v>462010</v>
      </c>
    </row>
    <row r="29" spans="1:6" x14ac:dyDescent="0.2">
      <c r="A29" s="203" t="s">
        <v>86</v>
      </c>
      <c r="B29" s="212">
        <v>0</v>
      </c>
      <c r="C29" s="212">
        <v>0</v>
      </c>
      <c r="D29" s="212">
        <v>0</v>
      </c>
      <c r="E29" s="212">
        <v>0</v>
      </c>
      <c r="F29" s="212">
        <v>0</v>
      </c>
    </row>
    <row r="30" spans="1:6" x14ac:dyDescent="0.2">
      <c r="A30" s="203" t="s">
        <v>87</v>
      </c>
      <c r="B30" s="212">
        <v>0</v>
      </c>
      <c r="C30" s="212">
        <v>0</v>
      </c>
      <c r="D30" s="212">
        <v>410635</v>
      </c>
      <c r="E30" s="212">
        <v>51375</v>
      </c>
      <c r="F30" s="212">
        <f>F28</f>
        <v>462010</v>
      </c>
    </row>
    <row r="33" spans="1:5" s="44" customFormat="1" ht="13.2" x14ac:dyDescent="0.25">
      <c r="A33" s="399" t="s">
        <v>1083</v>
      </c>
    </row>
    <row r="34" spans="1:5" s="357" customFormat="1" x14ac:dyDescent="0.2"/>
    <row r="35" spans="1:5" s="44" customFormat="1" x14ac:dyDescent="0.2">
      <c r="A35" s="371"/>
      <c r="B35" s="435">
        <f>B4</f>
        <v>44196</v>
      </c>
      <c r="C35" s="435">
        <v>43830</v>
      </c>
    </row>
    <row r="36" spans="1:5" s="44" customFormat="1" x14ac:dyDescent="0.2">
      <c r="A36" s="46" t="s">
        <v>662</v>
      </c>
      <c r="B36" s="573">
        <v>68713</v>
      </c>
      <c r="C36" s="77">
        <v>53160</v>
      </c>
    </row>
    <row r="37" spans="1:5" s="44" customFormat="1" x14ac:dyDescent="0.2">
      <c r="A37" s="46" t="s">
        <v>614</v>
      </c>
      <c r="B37" s="573">
        <v>41000</v>
      </c>
      <c r="C37" s="77">
        <v>57000</v>
      </c>
    </row>
    <row r="38" spans="1:5" s="44" customFormat="1" hidden="1" x14ac:dyDescent="0.2">
      <c r="A38" s="46" t="s">
        <v>611</v>
      </c>
      <c r="B38" s="77"/>
      <c r="C38" s="77">
        <v>0</v>
      </c>
    </row>
    <row r="39" spans="1:5" s="44" customFormat="1" x14ac:dyDescent="0.2">
      <c r="A39" s="46" t="s">
        <v>917</v>
      </c>
      <c r="B39" s="77">
        <v>0</v>
      </c>
      <c r="C39" s="77">
        <v>64195</v>
      </c>
    </row>
    <row r="40" spans="1:5" s="44" customFormat="1" hidden="1" x14ac:dyDescent="0.2">
      <c r="A40" s="49" t="s">
        <v>266</v>
      </c>
      <c r="B40" s="77"/>
      <c r="C40" s="77"/>
    </row>
    <row r="41" spans="1:5" s="44" customFormat="1" x14ac:dyDescent="0.2">
      <c r="A41" s="50" t="s">
        <v>21</v>
      </c>
      <c r="B41" s="45">
        <f>SUM(B36:B40)</f>
        <v>109713</v>
      </c>
      <c r="C41" s="45">
        <f>SUM(C36:C40)</f>
        <v>174355</v>
      </c>
    </row>
    <row r="42" spans="1:5" s="44" customFormat="1" x14ac:dyDescent="0.2">
      <c r="A42" s="46" t="s">
        <v>86</v>
      </c>
      <c r="B42" s="77">
        <v>0</v>
      </c>
      <c r="C42" s="77">
        <v>0</v>
      </c>
    </row>
    <row r="43" spans="1:5" s="44" customFormat="1" x14ac:dyDescent="0.2">
      <c r="A43" s="46" t="s">
        <v>87</v>
      </c>
      <c r="B43" s="77">
        <v>109713</v>
      </c>
      <c r="C43" s="77">
        <v>174355</v>
      </c>
    </row>
    <row r="44" spans="1:5" s="44" customFormat="1" x14ac:dyDescent="0.2">
      <c r="B44" s="314">
        <f>(Pasywa!$D$19+Pasywa!$D$28)-B41</f>
        <v>0</v>
      </c>
      <c r="C44" s="314">
        <f>(Pasywa!$E$19+Pasywa!$E$28)-C41</f>
        <v>0</v>
      </c>
    </row>
    <row r="45" spans="1:5" s="44" customFormat="1" x14ac:dyDescent="0.2">
      <c r="B45" s="370"/>
      <c r="C45" s="370"/>
      <c r="D45" s="52"/>
    </row>
    <row r="46" spans="1:5" x14ac:dyDescent="0.2">
      <c r="A46" s="52" t="s">
        <v>350</v>
      </c>
    </row>
    <row r="48" spans="1:5" s="32" customFormat="1" ht="63" customHeight="1" x14ac:dyDescent="0.25">
      <c r="A48" s="128" t="s">
        <v>316</v>
      </c>
      <c r="B48" s="118" t="s">
        <v>689</v>
      </c>
      <c r="C48" s="118" t="s">
        <v>614</v>
      </c>
      <c r="D48" s="118" t="s">
        <v>612</v>
      </c>
      <c r="E48" s="118" t="s">
        <v>376</v>
      </c>
    </row>
    <row r="49" spans="1:5" s="52" customFormat="1" x14ac:dyDescent="0.2">
      <c r="A49" s="57" t="s">
        <v>914</v>
      </c>
      <c r="B49" s="79">
        <f>B64</f>
        <v>53160</v>
      </c>
      <c r="C49" s="79">
        <f>C64</f>
        <v>57000</v>
      </c>
      <c r="D49" s="79">
        <f>D64</f>
        <v>64195</v>
      </c>
      <c r="E49" s="79">
        <f>SUM(B49:D49)</f>
        <v>174355</v>
      </c>
    </row>
    <row r="50" spans="1:5" s="202" customFormat="1" x14ac:dyDescent="0.2">
      <c r="A50" s="2" t="s">
        <v>473</v>
      </c>
      <c r="B50" s="678">
        <v>465336</v>
      </c>
      <c r="C50" s="678">
        <v>59000</v>
      </c>
      <c r="D50" s="678">
        <v>957812</v>
      </c>
      <c r="E50" s="80">
        <f>SUM(B50:D50)</f>
        <v>1482148</v>
      </c>
    </row>
    <row r="51" spans="1:5" s="1" customFormat="1" x14ac:dyDescent="0.2">
      <c r="A51" s="2" t="s">
        <v>372</v>
      </c>
      <c r="B51" s="679">
        <v>391836</v>
      </c>
      <c r="C51" s="678">
        <v>75000</v>
      </c>
      <c r="D51" s="680">
        <v>0</v>
      </c>
      <c r="E51" s="80">
        <f>SUM(B51:D51)</f>
        <v>466836</v>
      </c>
    </row>
    <row r="52" spans="1:5" s="202" customFormat="1" x14ac:dyDescent="0.2">
      <c r="A52" s="2" t="s">
        <v>373</v>
      </c>
      <c r="B52" s="678">
        <v>57947</v>
      </c>
      <c r="C52" s="678">
        <v>0</v>
      </c>
      <c r="D52" s="678">
        <v>1022007</v>
      </c>
      <c r="E52" s="80">
        <f>SUM(B52:D52)</f>
        <v>1079954</v>
      </c>
    </row>
    <row r="53" spans="1:5" s="1" customFormat="1" hidden="1" x14ac:dyDescent="0.2">
      <c r="A53" s="2" t="s">
        <v>474</v>
      </c>
      <c r="B53" s="80">
        <v>0</v>
      </c>
      <c r="C53" s="80">
        <v>0</v>
      </c>
      <c r="D53" s="80">
        <v>0</v>
      </c>
      <c r="E53" s="80">
        <v>0</v>
      </c>
    </row>
    <row r="54" spans="1:5" s="202" customFormat="1" hidden="1" x14ac:dyDescent="0.2">
      <c r="A54" s="2" t="s">
        <v>475</v>
      </c>
      <c r="B54" s="80">
        <v>0</v>
      </c>
      <c r="C54" s="80">
        <v>0</v>
      </c>
      <c r="D54" s="80">
        <v>0</v>
      </c>
      <c r="E54" s="80">
        <v>0</v>
      </c>
    </row>
    <row r="55" spans="1:5" s="52" customFormat="1" x14ac:dyDescent="0.2">
      <c r="A55" s="57" t="s">
        <v>918</v>
      </c>
      <c r="B55" s="79">
        <f>B49+B50-B51-B52+B53+B54</f>
        <v>68713</v>
      </c>
      <c r="C55" s="79">
        <f>C49+C50-C51-C52+C53+C54</f>
        <v>41000</v>
      </c>
      <c r="D55" s="79">
        <f>D49+D50-D51-D52+D53+D54</f>
        <v>0</v>
      </c>
      <c r="E55" s="79">
        <f>SUM(B55:D55)</f>
        <v>109713</v>
      </c>
    </row>
    <row r="56" spans="1:5" s="202" customFormat="1" x14ac:dyDescent="0.2">
      <c r="A56" s="46" t="s">
        <v>86</v>
      </c>
      <c r="B56" s="80">
        <v>0</v>
      </c>
      <c r="C56" s="80">
        <v>0</v>
      </c>
      <c r="D56" s="80">
        <v>0</v>
      </c>
      <c r="E56" s="80">
        <f t="shared" ref="E56:E58" si="2">SUM(B56:D56)</f>
        <v>0</v>
      </c>
    </row>
    <row r="57" spans="1:5" s="1" customFormat="1" x14ac:dyDescent="0.2">
      <c r="A57" s="46" t="s">
        <v>87</v>
      </c>
      <c r="B57" s="80">
        <f>B55</f>
        <v>68713</v>
      </c>
      <c r="C57" s="80">
        <f t="shared" ref="C57:D57" si="3">C55</f>
        <v>41000</v>
      </c>
      <c r="D57" s="80">
        <f t="shared" si="3"/>
        <v>0</v>
      </c>
      <c r="E57" s="80">
        <f>SUM(B57:D57)</f>
        <v>109713</v>
      </c>
    </row>
    <row r="58" spans="1:5" s="52" customFormat="1" x14ac:dyDescent="0.2">
      <c r="A58" s="57" t="s">
        <v>782</v>
      </c>
      <c r="B58" s="79">
        <v>0</v>
      </c>
      <c r="C58" s="79">
        <v>56000</v>
      </c>
      <c r="D58" s="79">
        <v>32000</v>
      </c>
      <c r="E58" s="79">
        <f t="shared" si="2"/>
        <v>88000</v>
      </c>
    </row>
    <row r="59" spans="1:5" s="1" customFormat="1" x14ac:dyDescent="0.2">
      <c r="A59" s="2" t="s">
        <v>473</v>
      </c>
      <c r="B59" s="80">
        <v>271825</v>
      </c>
      <c r="C59" s="80">
        <v>82450</v>
      </c>
      <c r="D59" s="80">
        <v>754971</v>
      </c>
      <c r="E59" s="80">
        <f>SUM(B59:D59)</f>
        <v>1109246</v>
      </c>
    </row>
    <row r="60" spans="1:5" s="202" customFormat="1" x14ac:dyDescent="0.2">
      <c r="A60" s="2" t="s">
        <v>372</v>
      </c>
      <c r="B60" s="80">
        <v>218384</v>
      </c>
      <c r="C60" s="80">
        <v>81450</v>
      </c>
      <c r="D60" s="80">
        <v>722776</v>
      </c>
      <c r="E60" s="80">
        <f>SUM(B60:D60)</f>
        <v>1022610</v>
      </c>
    </row>
    <row r="61" spans="1:5" s="1" customFormat="1" x14ac:dyDescent="0.2">
      <c r="A61" s="2" t="s">
        <v>373</v>
      </c>
      <c r="B61" s="80">
        <v>281</v>
      </c>
      <c r="C61" s="80">
        <v>0</v>
      </c>
      <c r="D61" s="80">
        <v>0</v>
      </c>
      <c r="E61" s="80">
        <f>SUM(B61:D61)</f>
        <v>281</v>
      </c>
    </row>
    <row r="62" spans="1:5" s="202" customFormat="1" hidden="1" x14ac:dyDescent="0.2">
      <c r="A62" s="2" t="s">
        <v>474</v>
      </c>
      <c r="B62" s="80">
        <v>0</v>
      </c>
      <c r="C62" s="80">
        <v>0</v>
      </c>
      <c r="D62" s="80">
        <v>0</v>
      </c>
      <c r="E62" s="80">
        <f>SUM(B62:D62)</f>
        <v>0</v>
      </c>
    </row>
    <row r="63" spans="1:5" s="1" customFormat="1" hidden="1" x14ac:dyDescent="0.2">
      <c r="A63" s="2" t="s">
        <v>475</v>
      </c>
      <c r="B63" s="80">
        <v>0</v>
      </c>
      <c r="C63" s="80">
        <v>0</v>
      </c>
      <c r="D63" s="80">
        <v>0</v>
      </c>
      <c r="E63" s="80">
        <f>SUM(B63:D63)</f>
        <v>0</v>
      </c>
    </row>
    <row r="64" spans="1:5" s="52" customFormat="1" x14ac:dyDescent="0.2">
      <c r="A64" s="57" t="s">
        <v>784</v>
      </c>
      <c r="B64" s="79">
        <f>B58+B59-B60-B61+B62+B63</f>
        <v>53160</v>
      </c>
      <c r="C64" s="79">
        <f>C58+C59-C60-C61+C62+C63</f>
        <v>57000</v>
      </c>
      <c r="D64" s="79">
        <f>D58+D59-D60-D61+D62+D63</f>
        <v>64195</v>
      </c>
      <c r="E64" s="79">
        <f>E58+E59-E60-E61+E62+E63</f>
        <v>174355</v>
      </c>
    </row>
    <row r="65" spans="1:5" s="202" customFormat="1" x14ac:dyDescent="0.2">
      <c r="A65" s="46" t="s">
        <v>86</v>
      </c>
      <c r="B65" s="207">
        <v>0</v>
      </c>
      <c r="C65" s="207">
        <v>0</v>
      </c>
      <c r="D65" s="207">
        <v>0</v>
      </c>
      <c r="E65" s="80">
        <f>SUM(B65:D65)</f>
        <v>0</v>
      </c>
    </row>
    <row r="66" spans="1:5" s="202" customFormat="1" x14ac:dyDescent="0.2">
      <c r="A66" s="46" t="s">
        <v>87</v>
      </c>
      <c r="B66" s="207">
        <f>B64</f>
        <v>53160</v>
      </c>
      <c r="C66" s="207">
        <f t="shared" ref="C66:D66" si="4">C64</f>
        <v>57000</v>
      </c>
      <c r="D66" s="207">
        <f t="shared" si="4"/>
        <v>64195</v>
      </c>
      <c r="E66" s="80">
        <f>SUM(B66:D66)</f>
        <v>174355</v>
      </c>
    </row>
    <row r="67" spans="1:5" x14ac:dyDescent="0.2">
      <c r="D67" s="445">
        <f>'Dane podstawowe'!B9</f>
        <v>44196</v>
      </c>
      <c r="E67" s="305">
        <f>(Pasywa!D19+Pasywa!D28)-'NOTA 29,30 - Rezerwy'!E55</f>
        <v>0</v>
      </c>
    </row>
    <row r="68" spans="1:5" x14ac:dyDescent="0.2">
      <c r="D68" s="445">
        <f>'Dane podstawowe'!B14</f>
        <v>43830</v>
      </c>
      <c r="E68" s="305">
        <f>(Pasywa!E19+Pasywa!E28)-'NOTA 29,30 - Rezerwy'!E64</f>
        <v>0</v>
      </c>
    </row>
    <row r="71" spans="1:5" s="44" customFormat="1" x14ac:dyDescent="0.2"/>
  </sheetData>
  <phoneticPr fontId="31" type="noConversion"/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  <pageSetUpPr fitToPage="1"/>
  </sheetPr>
  <dimension ref="A1:BJ47"/>
  <sheetViews>
    <sheetView showGridLines="0" topLeftCell="A14" zoomScaleNormal="100" zoomScaleSheetLayoutView="100" workbookViewId="0">
      <selection activeCell="A2" sqref="A2"/>
    </sheetView>
  </sheetViews>
  <sheetFormatPr defaultColWidth="9.33203125" defaultRowHeight="10.199999999999999" x14ac:dyDescent="0.2"/>
  <cols>
    <col min="1" max="1" width="3" style="179" customWidth="1"/>
    <col min="2" max="2" width="58.33203125" style="179" customWidth="1"/>
    <col min="3" max="3" width="8.6640625" style="179" customWidth="1"/>
    <col min="4" max="5" width="22.6640625" style="179" customWidth="1"/>
    <col min="6" max="16384" width="9.33203125" style="179"/>
  </cols>
  <sheetData>
    <row r="1" spans="1:62" s="177" customFormat="1" x14ac:dyDescent="0.2">
      <c r="B1" s="178"/>
    </row>
    <row r="2" spans="1:62" s="180" customFormat="1" ht="20.399999999999999" x14ac:dyDescent="0.25">
      <c r="A2" s="183"/>
      <c r="B2" s="190" t="s">
        <v>122</v>
      </c>
      <c r="C2" s="190" t="s">
        <v>321</v>
      </c>
      <c r="D2" s="190" t="str">
        <f>CONCATENATE("za okres ",'Dane podstawowe'!$B$7)</f>
        <v>za okres 01.01.2020-31.12.2020</v>
      </c>
      <c r="E2" s="190" t="s">
        <v>853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</row>
    <row r="3" spans="1:62" s="181" customFormat="1" x14ac:dyDescent="0.25">
      <c r="B3" s="191" t="s">
        <v>282</v>
      </c>
      <c r="C3" s="192" t="s">
        <v>405</v>
      </c>
      <c r="D3" s="282">
        <f>SUM(D4:D6)</f>
        <v>54601405</v>
      </c>
      <c r="E3" s="282">
        <f>SUM(E4:E6)</f>
        <v>58302506</v>
      </c>
    </row>
    <row r="4" spans="1:62" s="183" customFormat="1" hidden="1" x14ac:dyDescent="0.25">
      <c r="B4" s="186" t="s">
        <v>110</v>
      </c>
      <c r="C4" s="192"/>
      <c r="D4" s="406">
        <v>0</v>
      </c>
      <c r="E4" s="406">
        <v>0</v>
      </c>
    </row>
    <row r="5" spans="1:62" s="183" customFormat="1" x14ac:dyDescent="0.25">
      <c r="B5" s="186" t="s">
        <v>109</v>
      </c>
      <c r="C5" s="192"/>
      <c r="D5" s="406">
        <v>54601325</v>
      </c>
      <c r="E5" s="406">
        <v>58244443</v>
      </c>
    </row>
    <row r="6" spans="1:62" s="183" customFormat="1" x14ac:dyDescent="0.25">
      <c r="B6" s="186" t="s">
        <v>111</v>
      </c>
      <c r="C6" s="192"/>
      <c r="D6" s="406">
        <v>80</v>
      </c>
      <c r="E6" s="406">
        <v>58063</v>
      </c>
    </row>
    <row r="7" spans="1:62" s="183" customFormat="1" x14ac:dyDescent="0.25">
      <c r="B7" s="191" t="s">
        <v>586</v>
      </c>
      <c r="C7" s="192" t="s">
        <v>427</v>
      </c>
      <c r="D7" s="284">
        <f>SUM(D8:D15)</f>
        <v>55710459</v>
      </c>
      <c r="E7" s="284">
        <f>SUM(E8:E15)</f>
        <v>59055325</v>
      </c>
    </row>
    <row r="8" spans="1:62" s="181" customFormat="1" x14ac:dyDescent="0.25">
      <c r="B8" s="372" t="s">
        <v>30</v>
      </c>
      <c r="C8" s="192"/>
      <c r="D8" s="287">
        <v>4387695</v>
      </c>
      <c r="E8" s="287">
        <v>4175039</v>
      </c>
    </row>
    <row r="9" spans="1:62" s="183" customFormat="1" x14ac:dyDescent="0.25">
      <c r="B9" s="372" t="s">
        <v>587</v>
      </c>
      <c r="C9" s="192"/>
      <c r="D9" s="406">
        <v>271108</v>
      </c>
      <c r="E9" s="406">
        <v>651742</v>
      </c>
    </row>
    <row r="10" spans="1:62" s="183" customFormat="1" x14ac:dyDescent="0.25">
      <c r="B10" s="372" t="s">
        <v>588</v>
      </c>
      <c r="C10" s="192"/>
      <c r="D10" s="287">
        <v>34164438</v>
      </c>
      <c r="E10" s="287">
        <v>35690078</v>
      </c>
    </row>
    <row r="11" spans="1:62" s="183" customFormat="1" x14ac:dyDescent="0.25">
      <c r="B11" s="372" t="s">
        <v>33</v>
      </c>
      <c r="C11" s="192"/>
      <c r="D11" s="287">
        <v>179714</v>
      </c>
      <c r="E11" s="287">
        <v>240789</v>
      </c>
    </row>
    <row r="12" spans="1:62" s="183" customFormat="1" x14ac:dyDescent="0.25">
      <c r="B12" s="372" t="s">
        <v>212</v>
      </c>
      <c r="C12" s="192"/>
      <c r="D12" s="287">
        <v>12751814</v>
      </c>
      <c r="E12" s="287">
        <v>14275740</v>
      </c>
    </row>
    <row r="13" spans="1:62" s="183" customFormat="1" x14ac:dyDescent="0.25">
      <c r="B13" s="372" t="s">
        <v>589</v>
      </c>
      <c r="C13" s="192"/>
      <c r="D13" s="287">
        <v>2142935</v>
      </c>
      <c r="E13" s="287">
        <v>2506224</v>
      </c>
    </row>
    <row r="14" spans="1:62" s="183" customFormat="1" x14ac:dyDescent="0.25">
      <c r="B14" s="372" t="s">
        <v>590</v>
      </c>
      <c r="C14" s="192"/>
      <c r="D14" s="287">
        <v>1812653</v>
      </c>
      <c r="E14" s="287">
        <v>1464610</v>
      </c>
    </row>
    <row r="15" spans="1:62" s="183" customFormat="1" x14ac:dyDescent="0.25">
      <c r="B15" s="372" t="s">
        <v>35</v>
      </c>
      <c r="C15" s="192"/>
      <c r="D15" s="287">
        <v>102</v>
      </c>
      <c r="E15" s="287">
        <v>51103</v>
      </c>
    </row>
    <row r="16" spans="1:62" s="183" customFormat="1" x14ac:dyDescent="0.25">
      <c r="B16" s="193" t="s">
        <v>591</v>
      </c>
      <c r="C16" s="192"/>
      <c r="D16" s="286">
        <f>D3-D7</f>
        <v>-1109054</v>
      </c>
      <c r="E16" s="286">
        <f>E3-E7</f>
        <v>-752819</v>
      </c>
    </row>
    <row r="17" spans="2:6" s="183" customFormat="1" hidden="1" x14ac:dyDescent="0.25">
      <c r="B17" s="372" t="s">
        <v>577</v>
      </c>
      <c r="C17" s="192"/>
      <c r="D17" s="287">
        <v>0</v>
      </c>
      <c r="E17" s="287">
        <v>0</v>
      </c>
      <c r="F17" s="195" t="s">
        <v>578</v>
      </c>
    </row>
    <row r="18" spans="2:6" s="183" customFormat="1" x14ac:dyDescent="0.25">
      <c r="B18" s="182" t="s">
        <v>340</v>
      </c>
      <c r="C18" s="192" t="s">
        <v>428</v>
      </c>
      <c r="D18" s="616">
        <v>1518875</v>
      </c>
      <c r="E18" s="406">
        <v>915210</v>
      </c>
    </row>
    <row r="19" spans="2:6" s="183" customFormat="1" x14ac:dyDescent="0.25">
      <c r="B19" s="182" t="s">
        <v>341</v>
      </c>
      <c r="C19" s="192" t="s">
        <v>428</v>
      </c>
      <c r="D19" s="616">
        <v>1629940</v>
      </c>
      <c r="E19" s="406">
        <v>1045782</v>
      </c>
    </row>
    <row r="20" spans="2:6" s="183" customFormat="1" hidden="1" x14ac:dyDescent="0.25">
      <c r="B20" s="376" t="s">
        <v>575</v>
      </c>
      <c r="C20" s="192"/>
      <c r="D20" s="616">
        <v>0</v>
      </c>
      <c r="E20" s="406">
        <v>0</v>
      </c>
      <c r="F20" s="195" t="s">
        <v>576</v>
      </c>
    </row>
    <row r="21" spans="2:6" s="183" customFormat="1" x14ac:dyDescent="0.25">
      <c r="B21" s="193" t="s">
        <v>342</v>
      </c>
      <c r="C21" s="192"/>
      <c r="D21" s="617">
        <f>D16-D17+D18-D19-D20</f>
        <v>-1220119</v>
      </c>
      <c r="E21" s="286">
        <f>E16-E17+E18-E19-E20</f>
        <v>-883391</v>
      </c>
    </row>
    <row r="22" spans="2:6" s="183" customFormat="1" x14ac:dyDescent="0.25">
      <c r="B22" s="182" t="s">
        <v>315</v>
      </c>
      <c r="C22" s="192" t="s">
        <v>429</v>
      </c>
      <c r="D22" s="615">
        <v>46723</v>
      </c>
      <c r="E22" s="287">
        <v>150372</v>
      </c>
    </row>
    <row r="23" spans="2:6" s="183" customFormat="1" x14ac:dyDescent="0.25">
      <c r="B23" s="182" t="s">
        <v>526</v>
      </c>
      <c r="C23" s="192" t="s">
        <v>429</v>
      </c>
      <c r="D23" s="616">
        <v>203415</v>
      </c>
      <c r="E23" s="406">
        <v>337135</v>
      </c>
    </row>
    <row r="24" spans="2:6" s="183" customFormat="1" x14ac:dyDescent="0.2">
      <c r="B24" s="322" t="s">
        <v>406</v>
      </c>
      <c r="C24" s="192"/>
      <c r="D24" s="406">
        <v>-373883</v>
      </c>
      <c r="E24" s="406">
        <v>-127863</v>
      </c>
    </row>
    <row r="25" spans="2:6" s="183" customFormat="1" x14ac:dyDescent="0.25">
      <c r="B25" s="376" t="s">
        <v>600</v>
      </c>
      <c r="C25" s="192"/>
      <c r="D25" s="406">
        <v>0</v>
      </c>
      <c r="E25" s="406">
        <f>-263212+323191</f>
        <v>59979</v>
      </c>
    </row>
    <row r="26" spans="2:6" s="183" customFormat="1" x14ac:dyDescent="0.25">
      <c r="B26" s="193" t="s">
        <v>447</v>
      </c>
      <c r="C26" s="192"/>
      <c r="D26" s="286">
        <f>D21+D22-D23+D24+D25</f>
        <v>-1750694</v>
      </c>
      <c r="E26" s="286">
        <f>E21+E22-E23+E24+E25</f>
        <v>-1138038</v>
      </c>
    </row>
    <row r="27" spans="2:6" s="183" customFormat="1" x14ac:dyDescent="0.25">
      <c r="B27" s="182" t="s">
        <v>448</v>
      </c>
      <c r="C27" s="192" t="s">
        <v>430</v>
      </c>
      <c r="D27" s="287">
        <v>-372613</v>
      </c>
      <c r="E27" s="287">
        <v>214416</v>
      </c>
    </row>
    <row r="28" spans="2:6" s="183" customFormat="1" x14ac:dyDescent="0.25">
      <c r="B28" s="376" t="s">
        <v>597</v>
      </c>
      <c r="C28" s="192"/>
      <c r="D28" s="287">
        <v>0</v>
      </c>
      <c r="E28" s="287">
        <v>0</v>
      </c>
    </row>
    <row r="29" spans="2:6" s="183" customFormat="1" x14ac:dyDescent="0.25">
      <c r="B29" s="193" t="s">
        <v>343</v>
      </c>
      <c r="C29" s="192" t="s">
        <v>431</v>
      </c>
      <c r="D29" s="286">
        <f>D26-D27</f>
        <v>-1378081</v>
      </c>
      <c r="E29" s="286">
        <f>E26-E27</f>
        <v>-1352454</v>
      </c>
    </row>
    <row r="30" spans="2:6" s="183" customFormat="1" x14ac:dyDescent="0.25">
      <c r="B30" s="194" t="s">
        <v>344</v>
      </c>
      <c r="C30" s="192" t="s">
        <v>431</v>
      </c>
      <c r="D30" s="406">
        <v>0</v>
      </c>
      <c r="E30" s="406">
        <v>0</v>
      </c>
    </row>
    <row r="31" spans="2:6" s="183" customFormat="1" x14ac:dyDescent="0.25">
      <c r="B31" s="193" t="s">
        <v>204</v>
      </c>
      <c r="C31" s="192" t="s">
        <v>431</v>
      </c>
      <c r="D31" s="286">
        <f>D29+D30</f>
        <v>-1378081</v>
      </c>
      <c r="E31" s="286">
        <f>E29+E30</f>
        <v>-1352454</v>
      </c>
    </row>
    <row r="32" spans="2:6" s="183" customFormat="1" x14ac:dyDescent="0.25">
      <c r="B32" s="193"/>
      <c r="C32" s="192"/>
      <c r="D32" s="286"/>
      <c r="E32" s="286"/>
    </row>
    <row r="33" spans="2:5" s="195" customFormat="1" x14ac:dyDescent="0.2">
      <c r="B33" s="48" t="s">
        <v>533</v>
      </c>
      <c r="C33" s="192"/>
      <c r="D33" s="287">
        <v>-27929</v>
      </c>
      <c r="E33" s="287">
        <v>-51595</v>
      </c>
    </row>
    <row r="34" spans="2:5" s="183" customFormat="1" x14ac:dyDescent="0.25">
      <c r="B34" s="184" t="s">
        <v>133</v>
      </c>
      <c r="C34" s="192"/>
      <c r="D34" s="282">
        <f>D31-D33</f>
        <v>-1350152</v>
      </c>
      <c r="E34" s="282">
        <f>E31-E33</f>
        <v>-1300859</v>
      </c>
    </row>
    <row r="35" spans="2:5" s="183" customFormat="1" x14ac:dyDescent="0.25">
      <c r="B35" s="184"/>
      <c r="C35" s="192"/>
      <c r="D35" s="282"/>
      <c r="E35" s="282"/>
    </row>
    <row r="36" spans="2:5" s="183" customFormat="1" x14ac:dyDescent="0.25">
      <c r="B36" s="185" t="s">
        <v>112</v>
      </c>
      <c r="C36" s="192"/>
      <c r="D36" s="282"/>
      <c r="E36" s="282"/>
    </row>
    <row r="37" spans="2:5" s="183" customFormat="1" x14ac:dyDescent="0.2">
      <c r="B37" s="85" t="s">
        <v>134</v>
      </c>
      <c r="C37" s="192"/>
      <c r="D37" s="425">
        <f>D31/2485775</f>
        <v>-0.55438686124045822</v>
      </c>
      <c r="E37" s="425">
        <f>E31/2485775</f>
        <v>-0.54407740040832331</v>
      </c>
    </row>
    <row r="38" spans="2:5" s="183" customFormat="1" x14ac:dyDescent="0.2">
      <c r="B38" s="85" t="s">
        <v>135</v>
      </c>
      <c r="C38" s="192"/>
      <c r="D38" s="425">
        <f>D31/2485775</f>
        <v>-0.55438686124045822</v>
      </c>
      <c r="E38" s="425">
        <f>E31/2485775</f>
        <v>-0.54407740040832331</v>
      </c>
    </row>
    <row r="39" spans="2:5" s="183" customFormat="1" x14ac:dyDescent="0.25">
      <c r="B39" s="184" t="s">
        <v>132</v>
      </c>
      <c r="C39" s="192"/>
      <c r="D39" s="284"/>
      <c r="E39" s="284"/>
    </row>
    <row r="40" spans="2:5" s="183" customFormat="1" x14ac:dyDescent="0.2">
      <c r="B40" s="85" t="s">
        <v>134</v>
      </c>
      <c r="C40" s="192"/>
      <c r="D40" s="425">
        <f>D31/2485775</f>
        <v>-0.55438686124045822</v>
      </c>
      <c r="E40" s="425">
        <f>E31/2485775</f>
        <v>-0.54407740040832331</v>
      </c>
    </row>
    <row r="41" spans="2:5" s="183" customFormat="1" x14ac:dyDescent="0.2">
      <c r="B41" s="85" t="s">
        <v>135</v>
      </c>
      <c r="C41" s="372"/>
      <c r="D41" s="425">
        <f>D31/2485775</f>
        <v>-0.55438686124045822</v>
      </c>
      <c r="E41" s="425">
        <f>E31/2485775</f>
        <v>-0.54407740040832331</v>
      </c>
    </row>
    <row r="42" spans="2:5" s="183" customFormat="1" x14ac:dyDescent="0.25">
      <c r="B42" s="184" t="s">
        <v>281</v>
      </c>
      <c r="C42" s="372"/>
      <c r="D42" s="284">
        <v>0</v>
      </c>
      <c r="E42" s="284">
        <v>0</v>
      </c>
    </row>
    <row r="43" spans="2:5" x14ac:dyDescent="0.2">
      <c r="B43" s="187"/>
      <c r="C43" s="187"/>
      <c r="D43" s="188"/>
      <c r="E43" s="188"/>
    </row>
    <row r="44" spans="2:5" x14ac:dyDescent="0.2">
      <c r="B44" s="189"/>
      <c r="C44" s="189"/>
      <c r="D44" s="188"/>
      <c r="E44" s="188"/>
    </row>
    <row r="45" spans="2:5" x14ac:dyDescent="0.2">
      <c r="B45" s="187"/>
      <c r="C45" s="187"/>
      <c r="D45" s="188"/>
      <c r="E45" s="188"/>
    </row>
    <row r="46" spans="2:5" x14ac:dyDescent="0.2">
      <c r="B46" s="187"/>
      <c r="C46" s="187"/>
      <c r="D46" s="188"/>
      <c r="E46" s="188"/>
    </row>
    <row r="47" spans="2:5" x14ac:dyDescent="0.2">
      <c r="D47" s="188"/>
      <c r="E47" s="188"/>
    </row>
  </sheetData>
  <phoneticPr fontId="31" type="noConversion"/>
  <pageMargins left="0.7" right="0.7" top="0.75" bottom="0.75" header="0.3" footer="0.3"/>
  <pageSetup paperSize="9" scale="89" orientation="landscape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view="pageBreakPreview" topLeftCell="A28" zoomScaleNormal="100" zoomScaleSheetLayoutView="100" workbookViewId="0">
      <selection activeCell="A40" sqref="A40"/>
    </sheetView>
  </sheetViews>
  <sheetFormatPr defaultColWidth="9.33203125" defaultRowHeight="10.199999999999999" x14ac:dyDescent="0.2"/>
  <cols>
    <col min="1" max="1" width="54.6640625" style="41" customWidth="1"/>
    <col min="2" max="2" width="14.6640625" style="41" customWidth="1"/>
    <col min="3" max="3" width="12.88671875" style="41" customWidth="1"/>
    <col min="4" max="4" width="14.33203125" style="41" customWidth="1"/>
    <col min="5" max="5" width="12.5546875" style="41" customWidth="1"/>
    <col min="6" max="6" width="11.6640625" style="41" customWidth="1"/>
    <col min="7" max="7" width="19" style="41" customWidth="1"/>
    <col min="8" max="16384" width="9.33203125" style="41"/>
  </cols>
  <sheetData>
    <row r="1" spans="1:6" s="749" customFormat="1" x14ac:dyDescent="0.2">
      <c r="A1" s="748"/>
    </row>
    <row r="2" spans="1:6" ht="13.2" x14ac:dyDescent="0.25">
      <c r="A2" s="399" t="s">
        <v>1084</v>
      </c>
    </row>
    <row r="4" spans="1:6" s="1" customFormat="1" x14ac:dyDescent="0.2">
      <c r="A4" s="41"/>
      <c r="B4" s="41"/>
      <c r="C4" s="41"/>
      <c r="D4" s="41"/>
      <c r="E4" s="41"/>
      <c r="F4" s="41"/>
    </row>
    <row r="5" spans="1:6" s="1" customFormat="1" ht="20.399999999999999" x14ac:dyDescent="0.2">
      <c r="A5" s="439" t="s">
        <v>1010</v>
      </c>
      <c r="B5" s="753" t="s">
        <v>1011</v>
      </c>
      <c r="C5" s="753" t="s">
        <v>1012</v>
      </c>
      <c r="D5" s="435">
        <v>44196</v>
      </c>
      <c r="E5" s="435">
        <v>43830</v>
      </c>
      <c r="F5" s="41"/>
    </row>
    <row r="6" spans="1:6" s="1" customFormat="1" x14ac:dyDescent="0.2">
      <c r="A6" s="752" t="s">
        <v>1013</v>
      </c>
      <c r="B6" s="725" t="s">
        <v>1014</v>
      </c>
      <c r="C6" s="725" t="s">
        <v>1015</v>
      </c>
      <c r="D6" s="726">
        <v>0.98529999999999995</v>
      </c>
      <c r="E6" s="726">
        <v>0.94259999999999999</v>
      </c>
      <c r="F6" s="41"/>
    </row>
    <row r="7" spans="1:6" s="1" customFormat="1" x14ac:dyDescent="0.2">
      <c r="A7" s="752" t="s">
        <v>1016</v>
      </c>
      <c r="B7" s="725" t="s">
        <v>1017</v>
      </c>
      <c r="C7" s="725" t="s">
        <v>1015</v>
      </c>
      <c r="D7" s="726">
        <v>1.47E-2</v>
      </c>
      <c r="E7" s="726">
        <v>2.5399999999999999E-2</v>
      </c>
      <c r="F7" s="41"/>
    </row>
    <row r="8" spans="1:6" s="1" customFormat="1" x14ac:dyDescent="0.2">
      <c r="A8" s="752" t="s">
        <v>1018</v>
      </c>
      <c r="B8" s="725" t="s">
        <v>1019</v>
      </c>
      <c r="C8" s="725" t="s">
        <v>1015</v>
      </c>
      <c r="D8" s="726" t="s">
        <v>1020</v>
      </c>
      <c r="E8" s="726">
        <v>1.4200000000000001E-2</v>
      </c>
      <c r="F8" s="41"/>
    </row>
    <row r="9" spans="1:6" x14ac:dyDescent="0.2">
      <c r="A9" s="752" t="s">
        <v>1021</v>
      </c>
      <c r="B9" s="725" t="s">
        <v>1022</v>
      </c>
      <c r="C9" s="725" t="s">
        <v>1015</v>
      </c>
      <c r="D9" s="726" t="s">
        <v>1020</v>
      </c>
      <c r="E9" s="726">
        <v>1.78E-2</v>
      </c>
    </row>
    <row r="10" spans="1:6" ht="13.2" x14ac:dyDescent="0.25">
      <c r="A10" s="727" t="s">
        <v>1023</v>
      </c>
      <c r="B10" s="728"/>
      <c r="C10" s="728"/>
      <c r="D10" s="729">
        <f>SUM(D6:D9)</f>
        <v>1</v>
      </c>
      <c r="E10" s="729">
        <f>SUM(E6:E9)</f>
        <v>1</v>
      </c>
    </row>
    <row r="13" spans="1:6" x14ac:dyDescent="0.2">
      <c r="A13" s="804" t="s">
        <v>962</v>
      </c>
      <c r="B13" s="784" t="s">
        <v>963</v>
      </c>
      <c r="C13" s="802" t="s">
        <v>964</v>
      </c>
      <c r="D13" s="802" t="s">
        <v>965</v>
      </c>
      <c r="E13" s="802" t="s">
        <v>966</v>
      </c>
      <c r="F13" s="802" t="s">
        <v>27</v>
      </c>
    </row>
    <row r="14" spans="1:6" x14ac:dyDescent="0.2">
      <c r="A14" s="804"/>
      <c r="B14" s="784"/>
      <c r="C14" s="808"/>
      <c r="D14" s="808" t="s">
        <v>967</v>
      </c>
      <c r="E14" s="808" t="s">
        <v>968</v>
      </c>
      <c r="F14" s="808" t="s">
        <v>969</v>
      </c>
    </row>
    <row r="15" spans="1:6" x14ac:dyDescent="0.2">
      <c r="A15" s="717">
        <f>'[9]Dane podstawowe'!$B$9</f>
        <v>44196</v>
      </c>
      <c r="B15" s="675">
        <f>SUM(B16:B21)</f>
        <v>9797942</v>
      </c>
      <c r="C15" s="675">
        <f>SUM(C16:C21)</f>
        <v>592661</v>
      </c>
      <c r="D15" s="675">
        <f>SUM(D16:D21)</f>
        <v>5785</v>
      </c>
      <c r="E15" s="675">
        <f>SUM(E16:E21)</f>
        <v>0</v>
      </c>
      <c r="F15" s="675">
        <f>SUM(B15:E15)</f>
        <v>10396388</v>
      </c>
    </row>
    <row r="16" spans="1:6" s="42" customFormat="1" x14ac:dyDescent="0.2">
      <c r="A16" s="718" t="s">
        <v>970</v>
      </c>
      <c r="B16" s="675">
        <v>655644</v>
      </c>
      <c r="C16" s="675">
        <v>57086</v>
      </c>
      <c r="D16" s="675">
        <v>0</v>
      </c>
      <c r="E16" s="675">
        <v>0</v>
      </c>
      <c r="F16" s="675">
        <f t="shared" ref="F16:F28" si="0">SUM(B16:E16)</f>
        <v>712730</v>
      </c>
    </row>
    <row r="17" spans="1:6" s="52" customFormat="1" x14ac:dyDescent="0.2">
      <c r="A17" s="718" t="s">
        <v>971</v>
      </c>
      <c r="B17" s="675">
        <v>982160</v>
      </c>
      <c r="C17" s="675">
        <v>0</v>
      </c>
      <c r="D17" s="675">
        <v>0</v>
      </c>
      <c r="E17" s="675">
        <v>0</v>
      </c>
      <c r="F17" s="675">
        <f t="shared" si="0"/>
        <v>982160</v>
      </c>
    </row>
    <row r="18" spans="1:6" x14ac:dyDescent="0.2">
      <c r="A18" s="719" t="s">
        <v>972</v>
      </c>
      <c r="B18" s="675">
        <v>0</v>
      </c>
      <c r="C18" s="675">
        <v>0</v>
      </c>
      <c r="D18" s="675">
        <v>0</v>
      </c>
      <c r="E18" s="675">
        <v>0</v>
      </c>
      <c r="F18" s="675">
        <f t="shared" si="0"/>
        <v>0</v>
      </c>
    </row>
    <row r="19" spans="1:6" x14ac:dyDescent="0.2">
      <c r="A19" s="719" t="s">
        <v>973</v>
      </c>
      <c r="B19" s="675">
        <v>1031636</v>
      </c>
      <c r="C19" s="675">
        <v>535575</v>
      </c>
      <c r="D19" s="675">
        <v>5785</v>
      </c>
      <c r="E19" s="675">
        <v>0</v>
      </c>
      <c r="F19" s="675">
        <f t="shared" si="0"/>
        <v>1572996</v>
      </c>
    </row>
    <row r="20" spans="1:6" x14ac:dyDescent="0.2">
      <c r="A20" s="719" t="s">
        <v>974</v>
      </c>
      <c r="B20" s="675">
        <v>924344</v>
      </c>
      <c r="C20" s="675">
        <v>0</v>
      </c>
      <c r="D20" s="675">
        <v>0</v>
      </c>
      <c r="E20" s="675">
        <v>0</v>
      </c>
      <c r="F20" s="675">
        <f t="shared" si="0"/>
        <v>924344</v>
      </c>
    </row>
    <row r="21" spans="1:6" s="52" customFormat="1" x14ac:dyDescent="0.2">
      <c r="A21" s="719" t="s">
        <v>337</v>
      </c>
      <c r="B21" s="675">
        <v>6204158</v>
      </c>
      <c r="C21" s="675">
        <v>0</v>
      </c>
      <c r="D21" s="675">
        <v>0</v>
      </c>
      <c r="E21" s="675">
        <v>0</v>
      </c>
      <c r="F21" s="675">
        <f t="shared" si="0"/>
        <v>6204158</v>
      </c>
    </row>
    <row r="22" spans="1:6" x14ac:dyDescent="0.2">
      <c r="A22" s="717">
        <f>'[9]Dane podstawowe'!$B$14</f>
        <v>43830</v>
      </c>
      <c r="B22" s="675">
        <f>SUM(B23:B28)</f>
        <v>9739258</v>
      </c>
      <c r="C22" s="675">
        <f>SUM(C23:C28)</f>
        <v>2382213</v>
      </c>
      <c r="D22" s="675">
        <f>SUM(D23:D28)</f>
        <v>63865</v>
      </c>
      <c r="E22" s="675">
        <f>SUM(E23:E28)</f>
        <v>0</v>
      </c>
      <c r="F22" s="675">
        <f t="shared" si="0"/>
        <v>12185336</v>
      </c>
    </row>
    <row r="23" spans="1:6" x14ac:dyDescent="0.2">
      <c r="A23" s="718" t="s">
        <v>970</v>
      </c>
      <c r="B23" s="675">
        <v>683118</v>
      </c>
      <c r="C23" s="675">
        <v>661540</v>
      </c>
      <c r="D23" s="675">
        <v>57152</v>
      </c>
      <c r="E23" s="675">
        <v>0</v>
      </c>
      <c r="F23" s="675">
        <f t="shared" si="0"/>
        <v>1401810</v>
      </c>
    </row>
    <row r="24" spans="1:6" s="52" customFormat="1" x14ac:dyDescent="0.2">
      <c r="A24" s="718" t="s">
        <v>971</v>
      </c>
      <c r="B24" s="675">
        <v>1591420</v>
      </c>
      <c r="C24" s="675">
        <v>0</v>
      </c>
      <c r="D24" s="675">
        <v>0</v>
      </c>
      <c r="E24" s="675">
        <v>0</v>
      </c>
      <c r="F24" s="675">
        <f t="shared" si="0"/>
        <v>1591420</v>
      </c>
    </row>
    <row r="25" spans="1:6" x14ac:dyDescent="0.2">
      <c r="A25" s="719" t="s">
        <v>972</v>
      </c>
      <c r="B25" s="675">
        <v>0</v>
      </c>
      <c r="C25" s="675">
        <v>0</v>
      </c>
      <c r="D25" s="675">
        <v>0</v>
      </c>
      <c r="E25" s="675">
        <v>0</v>
      </c>
      <c r="F25" s="675">
        <f t="shared" si="0"/>
        <v>0</v>
      </c>
    </row>
    <row r="26" spans="1:6" x14ac:dyDescent="0.2">
      <c r="A26" s="719" t="s">
        <v>973</v>
      </c>
      <c r="B26" s="675">
        <v>830016</v>
      </c>
      <c r="C26" s="675">
        <v>796329</v>
      </c>
      <c r="D26" s="675">
        <v>6713</v>
      </c>
      <c r="E26" s="675">
        <v>0</v>
      </c>
      <c r="F26" s="675">
        <f t="shared" si="0"/>
        <v>1633058</v>
      </c>
    </row>
    <row r="27" spans="1:6" x14ac:dyDescent="0.2">
      <c r="A27" s="719" t="s">
        <v>974</v>
      </c>
      <c r="B27" s="675">
        <v>0</v>
      </c>
      <c r="C27" s="675">
        <v>924344</v>
      </c>
      <c r="D27" s="675">
        <v>0</v>
      </c>
      <c r="E27" s="675">
        <v>0</v>
      </c>
      <c r="F27" s="675">
        <f t="shared" si="0"/>
        <v>924344</v>
      </c>
    </row>
    <row r="28" spans="1:6" s="52" customFormat="1" x14ac:dyDescent="0.2">
      <c r="A28" s="719" t="s">
        <v>337</v>
      </c>
      <c r="B28" s="675">
        <v>6634704</v>
      </c>
      <c r="C28" s="675">
        <v>0</v>
      </c>
      <c r="D28" s="675">
        <v>0</v>
      </c>
      <c r="E28" s="675">
        <v>0</v>
      </c>
      <c r="F28" s="675">
        <f t="shared" si="0"/>
        <v>6634704</v>
      </c>
    </row>
    <row r="33" spans="1:6" s="749" customFormat="1" x14ac:dyDescent="0.2">
      <c r="A33" s="41"/>
      <c r="B33" s="41"/>
      <c r="C33" s="41"/>
      <c r="D33" s="41"/>
      <c r="E33" s="41"/>
      <c r="F33" s="41"/>
    </row>
    <row r="34" spans="1:6" s="357" customFormat="1" x14ac:dyDescent="0.2">
      <c r="A34" s="41"/>
      <c r="B34" s="41"/>
      <c r="C34" s="41"/>
      <c r="D34" s="41"/>
      <c r="E34" s="41"/>
      <c r="F34" s="41"/>
    </row>
    <row r="35" spans="1:6" s="749" customFormat="1" x14ac:dyDescent="0.2">
      <c r="A35" s="41"/>
      <c r="B35" s="41"/>
      <c r="C35" s="41"/>
      <c r="D35" s="41"/>
      <c r="E35" s="41"/>
      <c r="F35" s="41"/>
    </row>
    <row r="36" spans="1:6" s="749" customFormat="1" x14ac:dyDescent="0.2">
      <c r="A36" s="41"/>
      <c r="B36" s="41"/>
      <c r="C36" s="41"/>
      <c r="D36" s="41"/>
      <c r="E36" s="41"/>
      <c r="F36" s="41"/>
    </row>
    <row r="37" spans="1:6" s="749" customFormat="1" x14ac:dyDescent="0.2">
      <c r="A37" s="41"/>
      <c r="B37" s="41"/>
      <c r="C37" s="41"/>
      <c r="D37" s="41"/>
      <c r="E37" s="41"/>
      <c r="F37" s="41"/>
    </row>
    <row r="40" spans="1:6" s="32" customFormat="1" ht="63" customHeight="1" x14ac:dyDescent="0.2">
      <c r="A40" s="41"/>
      <c r="B40" s="41"/>
      <c r="C40" s="41"/>
      <c r="D40" s="41"/>
      <c r="E40" s="41"/>
      <c r="F40" s="41"/>
    </row>
    <row r="41" spans="1:6" s="52" customFormat="1" x14ac:dyDescent="0.2">
      <c r="A41" s="41"/>
      <c r="B41" s="41"/>
      <c r="C41" s="41"/>
      <c r="D41" s="41"/>
      <c r="E41" s="41"/>
      <c r="F41" s="41"/>
    </row>
    <row r="42" spans="1:6" s="202" customFormat="1" x14ac:dyDescent="0.2">
      <c r="A42" s="41"/>
      <c r="B42" s="41"/>
      <c r="C42" s="41"/>
      <c r="D42" s="41"/>
      <c r="E42" s="41"/>
      <c r="F42" s="41"/>
    </row>
    <row r="43" spans="1:6" s="1" customFormat="1" x14ac:dyDescent="0.2">
      <c r="A43" s="41"/>
      <c r="B43" s="41"/>
      <c r="C43" s="41"/>
      <c r="D43" s="41"/>
      <c r="E43" s="41"/>
      <c r="F43" s="41"/>
    </row>
    <row r="44" spans="1:6" s="202" customFormat="1" x14ac:dyDescent="0.2">
      <c r="A44" s="41"/>
      <c r="B44" s="41"/>
      <c r="C44" s="41"/>
      <c r="D44" s="41"/>
      <c r="E44" s="41"/>
      <c r="F44" s="41"/>
    </row>
    <row r="45" spans="1:6" s="1" customFormat="1" hidden="1" x14ac:dyDescent="0.2">
      <c r="A45" s="41"/>
      <c r="B45" s="41"/>
      <c r="C45" s="41"/>
      <c r="D45" s="41"/>
      <c r="E45" s="41"/>
      <c r="F45" s="41"/>
    </row>
    <row r="46" spans="1:6" s="202" customFormat="1" hidden="1" x14ac:dyDescent="0.2">
      <c r="A46" s="41"/>
      <c r="B46" s="41"/>
      <c r="C46" s="41"/>
      <c r="D46" s="41"/>
      <c r="E46" s="41"/>
      <c r="F46" s="41"/>
    </row>
    <row r="47" spans="1:6" s="52" customFormat="1" x14ac:dyDescent="0.2">
      <c r="A47" s="41"/>
      <c r="B47" s="41"/>
      <c r="C47" s="41"/>
      <c r="D47" s="41"/>
      <c r="E47" s="41"/>
      <c r="F47" s="41"/>
    </row>
    <row r="48" spans="1:6" s="202" customFormat="1" x14ac:dyDescent="0.2">
      <c r="A48" s="41"/>
      <c r="B48" s="41"/>
      <c r="C48" s="41"/>
      <c r="D48" s="41"/>
      <c r="E48" s="41"/>
      <c r="F48" s="41"/>
    </row>
    <row r="49" spans="1:6" s="1" customFormat="1" x14ac:dyDescent="0.2">
      <c r="A49" s="41"/>
      <c r="B49" s="41"/>
      <c r="C49" s="41"/>
      <c r="D49" s="41"/>
      <c r="E49" s="41"/>
      <c r="F49" s="41"/>
    </row>
    <row r="50" spans="1:6" s="52" customFormat="1" x14ac:dyDescent="0.2">
      <c r="A50" s="41"/>
      <c r="B50" s="41"/>
      <c r="C50" s="41"/>
      <c r="D50" s="41"/>
      <c r="E50" s="41"/>
      <c r="F50" s="41"/>
    </row>
    <row r="51" spans="1:6" s="1" customFormat="1" x14ac:dyDescent="0.2">
      <c r="A51" s="41"/>
      <c r="B51" s="41"/>
      <c r="C51" s="41"/>
      <c r="D51" s="41"/>
      <c r="E51" s="41"/>
      <c r="F51" s="41"/>
    </row>
    <row r="52" spans="1:6" s="202" customFormat="1" x14ac:dyDescent="0.2">
      <c r="A52" s="41"/>
      <c r="B52" s="41"/>
      <c r="C52" s="41"/>
      <c r="D52" s="41"/>
      <c r="E52" s="41"/>
      <c r="F52" s="41"/>
    </row>
    <row r="53" spans="1:6" s="1" customFormat="1" x14ac:dyDescent="0.2">
      <c r="A53" s="41"/>
      <c r="B53" s="41"/>
      <c r="C53" s="41"/>
      <c r="D53" s="41"/>
      <c r="E53" s="41"/>
      <c r="F53" s="41"/>
    </row>
    <row r="54" spans="1:6" s="202" customFormat="1" hidden="1" x14ac:dyDescent="0.2">
      <c r="A54" s="41"/>
      <c r="B54" s="41"/>
      <c r="C54" s="41"/>
      <c r="D54" s="41"/>
      <c r="E54" s="41"/>
      <c r="F54" s="41"/>
    </row>
    <row r="55" spans="1:6" s="1" customFormat="1" hidden="1" x14ac:dyDescent="0.2">
      <c r="A55" s="41"/>
      <c r="B55" s="41"/>
      <c r="C55" s="41"/>
      <c r="D55" s="41"/>
      <c r="E55" s="41"/>
      <c r="F55" s="41"/>
    </row>
    <row r="56" spans="1:6" s="52" customFormat="1" x14ac:dyDescent="0.2">
      <c r="A56" s="41"/>
      <c r="B56" s="41"/>
      <c r="C56" s="41"/>
      <c r="D56" s="41"/>
      <c r="E56" s="41"/>
      <c r="F56" s="41"/>
    </row>
    <row r="57" spans="1:6" s="202" customFormat="1" x14ac:dyDescent="0.2">
      <c r="A57" s="41"/>
      <c r="B57" s="41"/>
      <c r="C57" s="41"/>
      <c r="D57" s="41"/>
      <c r="E57" s="41"/>
      <c r="F57" s="41"/>
    </row>
    <row r="58" spans="1:6" s="202" customFormat="1" x14ac:dyDescent="0.2">
      <c r="A58" s="41"/>
      <c r="B58" s="41"/>
      <c r="C58" s="41"/>
      <c r="D58" s="41"/>
      <c r="E58" s="41"/>
      <c r="F58" s="41"/>
    </row>
    <row r="63" spans="1:6" s="749" customFormat="1" x14ac:dyDescent="0.2"/>
  </sheetData>
  <mergeCells count="6">
    <mergeCell ref="F13:F14"/>
    <mergeCell ref="A13:A14"/>
    <mergeCell ref="B13:B14"/>
    <mergeCell ref="C13:C14"/>
    <mergeCell ref="D13:D14"/>
    <mergeCell ref="E13:E14"/>
  </mergeCells>
  <pageMargins left="0.75" right="0.75" top="1" bottom="1" header="0.5" footer="0.5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00" zoomScaleSheetLayoutView="100" workbookViewId="0">
      <selection activeCell="A16" sqref="A16"/>
    </sheetView>
  </sheetViews>
  <sheetFormatPr defaultColWidth="9.33203125" defaultRowHeight="10.199999999999999" x14ac:dyDescent="0.2"/>
  <cols>
    <col min="1" max="1" width="54.6640625" style="41" customWidth="1"/>
    <col min="2" max="2" width="14.6640625" style="41" customWidth="1"/>
    <col min="3" max="3" width="12.88671875" style="41" customWidth="1"/>
    <col min="4" max="4" width="14.33203125" style="41" customWidth="1"/>
    <col min="5" max="5" width="12.5546875" style="41" customWidth="1"/>
    <col min="6" max="6" width="11.6640625" style="41" customWidth="1"/>
    <col min="7" max="7" width="19" style="41" customWidth="1"/>
    <col min="8" max="16384" width="9.33203125" style="41"/>
  </cols>
  <sheetData>
    <row r="1" spans="1:6" s="749" customFormat="1" x14ac:dyDescent="0.2">
      <c r="A1" s="748"/>
    </row>
    <row r="2" spans="1:6" ht="13.2" x14ac:dyDescent="0.25">
      <c r="A2" s="399" t="s">
        <v>1085</v>
      </c>
    </row>
    <row r="4" spans="1:6" s="1" customFormat="1" x14ac:dyDescent="0.2">
      <c r="A4" s="41"/>
      <c r="B4" s="41"/>
      <c r="C4" s="41"/>
      <c r="D4" s="41"/>
      <c r="E4" s="41"/>
      <c r="F4" s="41"/>
    </row>
    <row r="6" spans="1:6" ht="10.8" thickBot="1" x14ac:dyDescent="0.25"/>
    <row r="7" spans="1:6" ht="21" thickBot="1" x14ac:dyDescent="0.25">
      <c r="A7" s="732" t="s">
        <v>1026</v>
      </c>
      <c r="B7" s="733" t="s">
        <v>1027</v>
      </c>
      <c r="C7" s="733" t="s">
        <v>1028</v>
      </c>
      <c r="D7" s="734" t="s">
        <v>855</v>
      </c>
    </row>
    <row r="8" spans="1:6" ht="31.2" thickBot="1" x14ac:dyDescent="0.25">
      <c r="A8" s="735" t="s">
        <v>1029</v>
      </c>
      <c r="B8" s="736" t="s">
        <v>1030</v>
      </c>
      <c r="C8" s="720">
        <v>275253</v>
      </c>
      <c r="D8" s="737" t="s">
        <v>340</v>
      </c>
    </row>
    <row r="9" spans="1:6" s="749" customFormat="1" ht="31.2" thickBot="1" x14ac:dyDescent="0.25">
      <c r="A9" s="735" t="s">
        <v>1031</v>
      </c>
      <c r="B9" s="736" t="s">
        <v>1032</v>
      </c>
      <c r="C9" s="720">
        <v>236157</v>
      </c>
      <c r="D9" s="737" t="s">
        <v>340</v>
      </c>
      <c r="E9" s="41"/>
      <c r="F9" s="41"/>
    </row>
    <row r="10" spans="1:6" s="357" customFormat="1" ht="21" thickBot="1" x14ac:dyDescent="0.25">
      <c r="A10" s="735" t="s">
        <v>1033</v>
      </c>
      <c r="B10" s="736" t="s">
        <v>1034</v>
      </c>
      <c r="C10" s="720">
        <v>1523718</v>
      </c>
      <c r="D10" s="737" t="s">
        <v>1035</v>
      </c>
      <c r="E10" s="41"/>
      <c r="F10" s="41"/>
    </row>
    <row r="11" spans="1:6" s="749" customFormat="1" ht="31.2" thickBot="1" x14ac:dyDescent="0.25">
      <c r="A11" s="735" t="s">
        <v>1036</v>
      </c>
      <c r="B11" s="736" t="s">
        <v>1037</v>
      </c>
      <c r="C11" s="720">
        <v>251244</v>
      </c>
      <c r="D11" s="737" t="s">
        <v>340</v>
      </c>
      <c r="E11" s="41"/>
      <c r="F11" s="41"/>
    </row>
    <row r="12" spans="1:6" s="749" customFormat="1" ht="13.8" thickBot="1" x14ac:dyDescent="0.25">
      <c r="A12" s="738" t="s">
        <v>27</v>
      </c>
      <c r="B12" s="739"/>
      <c r="C12" s="721">
        <f>SUM(C8:C11)</f>
        <v>2286372</v>
      </c>
      <c r="D12" s="740"/>
      <c r="E12" s="41"/>
      <c r="F12" s="41"/>
    </row>
    <row r="13" spans="1:6" s="202" customFormat="1" x14ac:dyDescent="0.2">
      <c r="A13" s="41"/>
      <c r="B13" s="41"/>
      <c r="C13" s="41"/>
      <c r="D13" s="41"/>
      <c r="E13" s="41"/>
      <c r="F13" s="41"/>
    </row>
    <row r="14" spans="1:6" s="1" customFormat="1" x14ac:dyDescent="0.2">
      <c r="A14" s="41"/>
      <c r="B14" s="41"/>
      <c r="C14" s="41"/>
      <c r="D14" s="41"/>
      <c r="E14" s="41"/>
      <c r="F14" s="41"/>
    </row>
    <row r="15" spans="1:6" s="52" customFormat="1" x14ac:dyDescent="0.2">
      <c r="A15" s="41"/>
      <c r="B15" s="41"/>
      <c r="C15" s="41"/>
      <c r="D15" s="41"/>
      <c r="E15" s="41"/>
      <c r="F15" s="41"/>
    </row>
    <row r="16" spans="1:6" s="202" customFormat="1" x14ac:dyDescent="0.2">
      <c r="A16" s="41"/>
      <c r="B16" s="41"/>
      <c r="C16" s="41"/>
      <c r="D16" s="41"/>
      <c r="E16" s="41"/>
      <c r="F16" s="41"/>
    </row>
    <row r="17" spans="1:6" s="202" customFormat="1" x14ac:dyDescent="0.2">
      <c r="A17" s="41"/>
      <c r="B17" s="41"/>
      <c r="C17" s="41"/>
      <c r="D17" s="41"/>
      <c r="E17" s="41"/>
      <c r="F17" s="41"/>
    </row>
    <row r="22" spans="1:6" s="749" customFormat="1" x14ac:dyDescent="0.2"/>
  </sheetData>
  <pageMargins left="0.75" right="0.75" top="1" bottom="1" header="0.5" footer="0.5"/>
  <pageSetup paperSize="9"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C16"/>
  <sheetViews>
    <sheetView showGridLines="0" view="pageBreakPreview" zoomScaleNormal="100" zoomScaleSheetLayoutView="100" workbookViewId="0">
      <selection activeCell="D19" sqref="D19"/>
    </sheetView>
  </sheetViews>
  <sheetFormatPr defaultColWidth="9.33203125" defaultRowHeight="10.199999999999999" x14ac:dyDescent="0.2"/>
  <cols>
    <col min="1" max="1" width="42.6640625" style="202" customWidth="1"/>
    <col min="2" max="3" width="15.44140625" style="202" customWidth="1"/>
    <col min="4" max="4" width="15.6640625" style="202" customWidth="1"/>
    <col min="5" max="16384" width="9.33203125" style="202"/>
  </cols>
  <sheetData>
    <row r="1" spans="1:3" s="44" customFormat="1" x14ac:dyDescent="0.2">
      <c r="A1" s="178"/>
    </row>
    <row r="2" spans="1:3" s="41" customFormat="1" ht="13.2" x14ac:dyDescent="0.25">
      <c r="A2" s="399" t="s">
        <v>1086</v>
      </c>
    </row>
    <row r="3" spans="1:3" s="41" customFormat="1" x14ac:dyDescent="0.2"/>
    <row r="4" spans="1:3" s="1" customFormat="1" x14ac:dyDescent="0.2">
      <c r="A4" s="41"/>
      <c r="B4" s="793"/>
      <c r="C4" s="793"/>
    </row>
    <row r="5" spans="1:3" s="41" customFormat="1" x14ac:dyDescent="0.2">
      <c r="A5" s="101" t="s">
        <v>316</v>
      </c>
      <c r="B5" s="435">
        <f>'Dane podstawowe'!$B$9</f>
        <v>44196</v>
      </c>
      <c r="C5" s="435">
        <f>'Dane podstawowe'!$B$14</f>
        <v>43830</v>
      </c>
    </row>
    <row r="6" spans="1:3" x14ac:dyDescent="0.2">
      <c r="A6" s="43" t="s">
        <v>310</v>
      </c>
      <c r="B6" s="204">
        <f>(Pasywa!D13+Pasywa!D21)</f>
        <v>3223184</v>
      </c>
      <c r="C6" s="204">
        <f>(Pasywa!E13+Pasywa!E21)</f>
        <v>2955460</v>
      </c>
    </row>
    <row r="7" spans="1:3" s="1" customFormat="1" ht="20.399999999999999" x14ac:dyDescent="0.2">
      <c r="A7" s="2" t="s">
        <v>312</v>
      </c>
      <c r="B7" s="81">
        <f>(Pasywa!D23+Pasywa!D25)</f>
        <v>8317652</v>
      </c>
      <c r="C7" s="81">
        <f>(Pasywa!E23+Pasywa!E25)</f>
        <v>8600898</v>
      </c>
    </row>
    <row r="8" spans="1:3" x14ac:dyDescent="0.2">
      <c r="A8" s="43" t="s">
        <v>60</v>
      </c>
      <c r="B8" s="204">
        <f>Aktywa!D23</f>
        <v>5951897</v>
      </c>
      <c r="C8" s="204">
        <f>Aktywa!E23</f>
        <v>3239492</v>
      </c>
    </row>
    <row r="9" spans="1:3" s="41" customFormat="1" x14ac:dyDescent="0.2">
      <c r="A9" s="35" t="s">
        <v>61</v>
      </c>
      <c r="B9" s="90">
        <f>B6+B7-B8</f>
        <v>5588939</v>
      </c>
      <c r="C9" s="90">
        <f>C6+C7-C8</f>
        <v>8316866</v>
      </c>
    </row>
    <row r="10" spans="1:3" x14ac:dyDescent="0.2">
      <c r="A10" s="809"/>
      <c r="B10" s="810"/>
      <c r="C10" s="810"/>
    </row>
    <row r="11" spans="1:3" s="1" customFormat="1" x14ac:dyDescent="0.2">
      <c r="A11" s="2" t="s">
        <v>311</v>
      </c>
      <c r="B11" s="81"/>
      <c r="C11" s="81"/>
    </row>
    <row r="12" spans="1:3" x14ac:dyDescent="0.2">
      <c r="A12" s="43" t="s">
        <v>62</v>
      </c>
      <c r="B12" s="204">
        <f>Pasywa!D3</f>
        <v>21345563</v>
      </c>
      <c r="C12" s="204">
        <f>Pasywa!E3</f>
        <v>22626175</v>
      </c>
    </row>
    <row r="13" spans="1:3" s="1" customFormat="1" x14ac:dyDescent="0.2">
      <c r="A13" s="2" t="s">
        <v>63</v>
      </c>
      <c r="B13" s="81"/>
      <c r="C13" s="81"/>
    </row>
    <row r="14" spans="1:3" s="41" customFormat="1" x14ac:dyDescent="0.2">
      <c r="A14" s="35" t="s">
        <v>64</v>
      </c>
      <c r="B14" s="90">
        <f>B13+B12+B11</f>
        <v>21345563</v>
      </c>
      <c r="C14" s="90">
        <f>C13+C12+C11</f>
        <v>22626175</v>
      </c>
    </row>
    <row r="15" spans="1:3" s="41" customFormat="1" x14ac:dyDescent="0.2">
      <c r="A15" s="57" t="s">
        <v>65</v>
      </c>
      <c r="B15" s="90">
        <f>B14+B9</f>
        <v>26934502</v>
      </c>
      <c r="C15" s="90">
        <f>C14+C9</f>
        <v>30943041</v>
      </c>
    </row>
    <row r="16" spans="1:3" x14ac:dyDescent="0.2">
      <c r="A16" s="43" t="s">
        <v>66</v>
      </c>
      <c r="B16" s="432">
        <f>B9/B15</f>
        <v>0.20750110768708477</v>
      </c>
      <c r="C16" s="432">
        <f>C9/C15</f>
        <v>0.26877985263310095</v>
      </c>
    </row>
  </sheetData>
  <mergeCells count="2">
    <mergeCell ref="B4:C4"/>
    <mergeCell ref="A10:C10"/>
  </mergeCells>
  <phoneticPr fontId="31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showGridLines="0" zoomScaleNormal="100" zoomScaleSheetLayoutView="100" workbookViewId="0">
      <selection activeCell="E22" sqref="E22"/>
    </sheetView>
  </sheetViews>
  <sheetFormatPr defaultColWidth="9.33203125" defaultRowHeight="13.2" x14ac:dyDescent="0.25"/>
  <cols>
    <col min="1" max="1" width="44.33203125" style="621" customWidth="1"/>
    <col min="2" max="2" width="15.44140625" style="619" customWidth="1"/>
    <col min="3" max="5" width="15.44140625" style="620" customWidth="1"/>
    <col min="6" max="6" width="15.44140625" style="619" customWidth="1"/>
    <col min="7" max="12" width="15.44140625" style="620" customWidth="1"/>
    <col min="13" max="13" width="14.33203125" style="621" customWidth="1"/>
    <col min="14" max="256" width="9.33203125" style="621"/>
    <col min="257" max="257" width="44.33203125" style="621" customWidth="1"/>
    <col min="258" max="268" width="15.44140625" style="621" customWidth="1"/>
    <col min="269" max="269" width="14.33203125" style="621" customWidth="1"/>
    <col min="270" max="512" width="9.33203125" style="621"/>
    <col min="513" max="513" width="44.33203125" style="621" customWidth="1"/>
    <col min="514" max="524" width="15.44140625" style="621" customWidth="1"/>
    <col min="525" max="525" width="14.33203125" style="621" customWidth="1"/>
    <col min="526" max="768" width="9.33203125" style="621"/>
    <col min="769" max="769" width="44.33203125" style="621" customWidth="1"/>
    <col min="770" max="780" width="15.44140625" style="621" customWidth="1"/>
    <col min="781" max="781" width="14.33203125" style="621" customWidth="1"/>
    <col min="782" max="1024" width="9.33203125" style="621"/>
    <col min="1025" max="1025" width="44.33203125" style="621" customWidth="1"/>
    <col min="1026" max="1036" width="15.44140625" style="621" customWidth="1"/>
    <col min="1037" max="1037" width="14.33203125" style="621" customWidth="1"/>
    <col min="1038" max="1280" width="9.33203125" style="621"/>
    <col min="1281" max="1281" width="44.33203125" style="621" customWidth="1"/>
    <col min="1282" max="1292" width="15.44140625" style="621" customWidth="1"/>
    <col min="1293" max="1293" width="14.33203125" style="621" customWidth="1"/>
    <col min="1294" max="1536" width="9.33203125" style="621"/>
    <col min="1537" max="1537" width="44.33203125" style="621" customWidth="1"/>
    <col min="1538" max="1548" width="15.44140625" style="621" customWidth="1"/>
    <col min="1549" max="1549" width="14.33203125" style="621" customWidth="1"/>
    <col min="1550" max="1792" width="9.33203125" style="621"/>
    <col min="1793" max="1793" width="44.33203125" style="621" customWidth="1"/>
    <col min="1794" max="1804" width="15.44140625" style="621" customWidth="1"/>
    <col min="1805" max="1805" width="14.33203125" style="621" customWidth="1"/>
    <col min="1806" max="2048" width="9.33203125" style="621"/>
    <col min="2049" max="2049" width="44.33203125" style="621" customWidth="1"/>
    <col min="2050" max="2060" width="15.44140625" style="621" customWidth="1"/>
    <col min="2061" max="2061" width="14.33203125" style="621" customWidth="1"/>
    <col min="2062" max="2304" width="9.33203125" style="621"/>
    <col min="2305" max="2305" width="44.33203125" style="621" customWidth="1"/>
    <col min="2306" max="2316" width="15.44140625" style="621" customWidth="1"/>
    <col min="2317" max="2317" width="14.33203125" style="621" customWidth="1"/>
    <col min="2318" max="2560" width="9.33203125" style="621"/>
    <col min="2561" max="2561" width="44.33203125" style="621" customWidth="1"/>
    <col min="2562" max="2572" width="15.44140625" style="621" customWidth="1"/>
    <col min="2573" max="2573" width="14.33203125" style="621" customWidth="1"/>
    <col min="2574" max="2816" width="9.33203125" style="621"/>
    <col min="2817" max="2817" width="44.33203125" style="621" customWidth="1"/>
    <col min="2818" max="2828" width="15.44140625" style="621" customWidth="1"/>
    <col min="2829" max="2829" width="14.33203125" style="621" customWidth="1"/>
    <col min="2830" max="3072" width="9.33203125" style="621"/>
    <col min="3073" max="3073" width="44.33203125" style="621" customWidth="1"/>
    <col min="3074" max="3084" width="15.44140625" style="621" customWidth="1"/>
    <col min="3085" max="3085" width="14.33203125" style="621" customWidth="1"/>
    <col min="3086" max="3328" width="9.33203125" style="621"/>
    <col min="3329" max="3329" width="44.33203125" style="621" customWidth="1"/>
    <col min="3330" max="3340" width="15.44140625" style="621" customWidth="1"/>
    <col min="3341" max="3341" width="14.33203125" style="621" customWidth="1"/>
    <col min="3342" max="3584" width="9.33203125" style="621"/>
    <col min="3585" max="3585" width="44.33203125" style="621" customWidth="1"/>
    <col min="3586" max="3596" width="15.44140625" style="621" customWidth="1"/>
    <col min="3597" max="3597" width="14.33203125" style="621" customWidth="1"/>
    <col min="3598" max="3840" width="9.33203125" style="621"/>
    <col min="3841" max="3841" width="44.33203125" style="621" customWidth="1"/>
    <col min="3842" max="3852" width="15.44140625" style="621" customWidth="1"/>
    <col min="3853" max="3853" width="14.33203125" style="621" customWidth="1"/>
    <col min="3854" max="4096" width="9.33203125" style="621"/>
    <col min="4097" max="4097" width="44.33203125" style="621" customWidth="1"/>
    <col min="4098" max="4108" width="15.44140625" style="621" customWidth="1"/>
    <col min="4109" max="4109" width="14.33203125" style="621" customWidth="1"/>
    <col min="4110" max="4352" width="9.33203125" style="621"/>
    <col min="4353" max="4353" width="44.33203125" style="621" customWidth="1"/>
    <col min="4354" max="4364" width="15.44140625" style="621" customWidth="1"/>
    <col min="4365" max="4365" width="14.33203125" style="621" customWidth="1"/>
    <col min="4366" max="4608" width="9.33203125" style="621"/>
    <col min="4609" max="4609" width="44.33203125" style="621" customWidth="1"/>
    <col min="4610" max="4620" width="15.44140625" style="621" customWidth="1"/>
    <col min="4621" max="4621" width="14.33203125" style="621" customWidth="1"/>
    <col min="4622" max="4864" width="9.33203125" style="621"/>
    <col min="4865" max="4865" width="44.33203125" style="621" customWidth="1"/>
    <col min="4866" max="4876" width="15.44140625" style="621" customWidth="1"/>
    <col min="4877" max="4877" width="14.33203125" style="621" customWidth="1"/>
    <col min="4878" max="5120" width="9.33203125" style="621"/>
    <col min="5121" max="5121" width="44.33203125" style="621" customWidth="1"/>
    <col min="5122" max="5132" width="15.44140625" style="621" customWidth="1"/>
    <col min="5133" max="5133" width="14.33203125" style="621" customWidth="1"/>
    <col min="5134" max="5376" width="9.33203125" style="621"/>
    <col min="5377" max="5377" width="44.33203125" style="621" customWidth="1"/>
    <col min="5378" max="5388" width="15.44140625" style="621" customWidth="1"/>
    <col min="5389" max="5389" width="14.33203125" style="621" customWidth="1"/>
    <col min="5390" max="5632" width="9.33203125" style="621"/>
    <col min="5633" max="5633" width="44.33203125" style="621" customWidth="1"/>
    <col min="5634" max="5644" width="15.44140625" style="621" customWidth="1"/>
    <col min="5645" max="5645" width="14.33203125" style="621" customWidth="1"/>
    <col min="5646" max="5888" width="9.33203125" style="621"/>
    <col min="5889" max="5889" width="44.33203125" style="621" customWidth="1"/>
    <col min="5890" max="5900" width="15.44140625" style="621" customWidth="1"/>
    <col min="5901" max="5901" width="14.33203125" style="621" customWidth="1"/>
    <col min="5902" max="6144" width="9.33203125" style="621"/>
    <col min="6145" max="6145" width="44.33203125" style="621" customWidth="1"/>
    <col min="6146" max="6156" width="15.44140625" style="621" customWidth="1"/>
    <col min="6157" max="6157" width="14.33203125" style="621" customWidth="1"/>
    <col min="6158" max="6400" width="9.33203125" style="621"/>
    <col min="6401" max="6401" width="44.33203125" style="621" customWidth="1"/>
    <col min="6402" max="6412" width="15.44140625" style="621" customWidth="1"/>
    <col min="6413" max="6413" width="14.33203125" style="621" customWidth="1"/>
    <col min="6414" max="6656" width="9.33203125" style="621"/>
    <col min="6657" max="6657" width="44.33203125" style="621" customWidth="1"/>
    <col min="6658" max="6668" width="15.44140625" style="621" customWidth="1"/>
    <col min="6669" max="6669" width="14.33203125" style="621" customWidth="1"/>
    <col min="6670" max="6912" width="9.33203125" style="621"/>
    <col min="6913" max="6913" width="44.33203125" style="621" customWidth="1"/>
    <col min="6914" max="6924" width="15.44140625" style="621" customWidth="1"/>
    <col min="6925" max="6925" width="14.33203125" style="621" customWidth="1"/>
    <col min="6926" max="7168" width="9.33203125" style="621"/>
    <col min="7169" max="7169" width="44.33203125" style="621" customWidth="1"/>
    <col min="7170" max="7180" width="15.44140625" style="621" customWidth="1"/>
    <col min="7181" max="7181" width="14.33203125" style="621" customWidth="1"/>
    <col min="7182" max="7424" width="9.33203125" style="621"/>
    <col min="7425" max="7425" width="44.33203125" style="621" customWidth="1"/>
    <col min="7426" max="7436" width="15.44140625" style="621" customWidth="1"/>
    <col min="7437" max="7437" width="14.33203125" style="621" customWidth="1"/>
    <col min="7438" max="7680" width="9.33203125" style="621"/>
    <col min="7681" max="7681" width="44.33203125" style="621" customWidth="1"/>
    <col min="7682" max="7692" width="15.44140625" style="621" customWidth="1"/>
    <col min="7693" max="7693" width="14.33203125" style="621" customWidth="1"/>
    <col min="7694" max="7936" width="9.33203125" style="621"/>
    <col min="7937" max="7937" width="44.33203125" style="621" customWidth="1"/>
    <col min="7938" max="7948" width="15.44140625" style="621" customWidth="1"/>
    <col min="7949" max="7949" width="14.33203125" style="621" customWidth="1"/>
    <col min="7950" max="8192" width="9.33203125" style="621"/>
    <col min="8193" max="8193" width="44.33203125" style="621" customWidth="1"/>
    <col min="8194" max="8204" width="15.44140625" style="621" customWidth="1"/>
    <col min="8205" max="8205" width="14.33203125" style="621" customWidth="1"/>
    <col min="8206" max="8448" width="9.33203125" style="621"/>
    <col min="8449" max="8449" width="44.33203125" style="621" customWidth="1"/>
    <col min="8450" max="8460" width="15.44140625" style="621" customWidth="1"/>
    <col min="8461" max="8461" width="14.33203125" style="621" customWidth="1"/>
    <col min="8462" max="8704" width="9.33203125" style="621"/>
    <col min="8705" max="8705" width="44.33203125" style="621" customWidth="1"/>
    <col min="8706" max="8716" width="15.44140625" style="621" customWidth="1"/>
    <col min="8717" max="8717" width="14.33203125" style="621" customWidth="1"/>
    <col min="8718" max="8960" width="9.33203125" style="621"/>
    <col min="8961" max="8961" width="44.33203125" style="621" customWidth="1"/>
    <col min="8962" max="8972" width="15.44140625" style="621" customWidth="1"/>
    <col min="8973" max="8973" width="14.33203125" style="621" customWidth="1"/>
    <col min="8974" max="9216" width="9.33203125" style="621"/>
    <col min="9217" max="9217" width="44.33203125" style="621" customWidth="1"/>
    <col min="9218" max="9228" width="15.44140625" style="621" customWidth="1"/>
    <col min="9229" max="9229" width="14.33203125" style="621" customWidth="1"/>
    <col min="9230" max="9472" width="9.33203125" style="621"/>
    <col min="9473" max="9473" width="44.33203125" style="621" customWidth="1"/>
    <col min="9474" max="9484" width="15.44140625" style="621" customWidth="1"/>
    <col min="9485" max="9485" width="14.33203125" style="621" customWidth="1"/>
    <col min="9486" max="9728" width="9.33203125" style="621"/>
    <col min="9729" max="9729" width="44.33203125" style="621" customWidth="1"/>
    <col min="9730" max="9740" width="15.44140625" style="621" customWidth="1"/>
    <col min="9741" max="9741" width="14.33203125" style="621" customWidth="1"/>
    <col min="9742" max="9984" width="9.33203125" style="621"/>
    <col min="9985" max="9985" width="44.33203125" style="621" customWidth="1"/>
    <col min="9986" max="9996" width="15.44140625" style="621" customWidth="1"/>
    <col min="9997" max="9997" width="14.33203125" style="621" customWidth="1"/>
    <col min="9998" max="10240" width="9.33203125" style="621"/>
    <col min="10241" max="10241" width="44.33203125" style="621" customWidth="1"/>
    <col min="10242" max="10252" width="15.44140625" style="621" customWidth="1"/>
    <col min="10253" max="10253" width="14.33203125" style="621" customWidth="1"/>
    <col min="10254" max="10496" width="9.33203125" style="621"/>
    <col min="10497" max="10497" width="44.33203125" style="621" customWidth="1"/>
    <col min="10498" max="10508" width="15.44140625" style="621" customWidth="1"/>
    <col min="10509" max="10509" width="14.33203125" style="621" customWidth="1"/>
    <col min="10510" max="10752" width="9.33203125" style="621"/>
    <col min="10753" max="10753" width="44.33203125" style="621" customWidth="1"/>
    <col min="10754" max="10764" width="15.44140625" style="621" customWidth="1"/>
    <col min="10765" max="10765" width="14.33203125" style="621" customWidth="1"/>
    <col min="10766" max="11008" width="9.33203125" style="621"/>
    <col min="11009" max="11009" width="44.33203125" style="621" customWidth="1"/>
    <col min="11010" max="11020" width="15.44140625" style="621" customWidth="1"/>
    <col min="11021" max="11021" width="14.33203125" style="621" customWidth="1"/>
    <col min="11022" max="11264" width="9.33203125" style="621"/>
    <col min="11265" max="11265" width="44.33203125" style="621" customWidth="1"/>
    <col min="11266" max="11276" width="15.44140625" style="621" customWidth="1"/>
    <col min="11277" max="11277" width="14.33203125" style="621" customWidth="1"/>
    <col min="11278" max="11520" width="9.33203125" style="621"/>
    <col min="11521" max="11521" width="44.33203125" style="621" customWidth="1"/>
    <col min="11522" max="11532" width="15.44140625" style="621" customWidth="1"/>
    <col min="11533" max="11533" width="14.33203125" style="621" customWidth="1"/>
    <col min="11534" max="11776" width="9.33203125" style="621"/>
    <col min="11777" max="11777" width="44.33203125" style="621" customWidth="1"/>
    <col min="11778" max="11788" width="15.44140625" style="621" customWidth="1"/>
    <col min="11789" max="11789" width="14.33203125" style="621" customWidth="1"/>
    <col min="11790" max="12032" width="9.33203125" style="621"/>
    <col min="12033" max="12033" width="44.33203125" style="621" customWidth="1"/>
    <col min="12034" max="12044" width="15.44140625" style="621" customWidth="1"/>
    <col min="12045" max="12045" width="14.33203125" style="621" customWidth="1"/>
    <col min="12046" max="12288" width="9.33203125" style="621"/>
    <col min="12289" max="12289" width="44.33203125" style="621" customWidth="1"/>
    <col min="12290" max="12300" width="15.44140625" style="621" customWidth="1"/>
    <col min="12301" max="12301" width="14.33203125" style="621" customWidth="1"/>
    <col min="12302" max="12544" width="9.33203125" style="621"/>
    <col min="12545" max="12545" width="44.33203125" style="621" customWidth="1"/>
    <col min="12546" max="12556" width="15.44140625" style="621" customWidth="1"/>
    <col min="12557" max="12557" width="14.33203125" style="621" customWidth="1"/>
    <col min="12558" max="12800" width="9.33203125" style="621"/>
    <col min="12801" max="12801" width="44.33203125" style="621" customWidth="1"/>
    <col min="12802" max="12812" width="15.44140625" style="621" customWidth="1"/>
    <col min="12813" max="12813" width="14.33203125" style="621" customWidth="1"/>
    <col min="12814" max="13056" width="9.33203125" style="621"/>
    <col min="13057" max="13057" width="44.33203125" style="621" customWidth="1"/>
    <col min="13058" max="13068" width="15.44140625" style="621" customWidth="1"/>
    <col min="13069" max="13069" width="14.33203125" style="621" customWidth="1"/>
    <col min="13070" max="13312" width="9.33203125" style="621"/>
    <col min="13313" max="13313" width="44.33203125" style="621" customWidth="1"/>
    <col min="13314" max="13324" width="15.44140625" style="621" customWidth="1"/>
    <col min="13325" max="13325" width="14.33203125" style="621" customWidth="1"/>
    <col min="13326" max="13568" width="9.33203125" style="621"/>
    <col min="13569" max="13569" width="44.33203125" style="621" customWidth="1"/>
    <col min="13570" max="13580" width="15.44140625" style="621" customWidth="1"/>
    <col min="13581" max="13581" width="14.33203125" style="621" customWidth="1"/>
    <col min="13582" max="13824" width="9.33203125" style="621"/>
    <col min="13825" max="13825" width="44.33203125" style="621" customWidth="1"/>
    <col min="13826" max="13836" width="15.44140625" style="621" customWidth="1"/>
    <col min="13837" max="13837" width="14.33203125" style="621" customWidth="1"/>
    <col min="13838" max="14080" width="9.33203125" style="621"/>
    <col min="14081" max="14081" width="44.33203125" style="621" customWidth="1"/>
    <col min="14082" max="14092" width="15.44140625" style="621" customWidth="1"/>
    <col min="14093" max="14093" width="14.33203125" style="621" customWidth="1"/>
    <col min="14094" max="14336" width="9.33203125" style="621"/>
    <col min="14337" max="14337" width="44.33203125" style="621" customWidth="1"/>
    <col min="14338" max="14348" width="15.44140625" style="621" customWidth="1"/>
    <col min="14349" max="14349" width="14.33203125" style="621" customWidth="1"/>
    <col min="14350" max="14592" width="9.33203125" style="621"/>
    <col min="14593" max="14593" width="44.33203125" style="621" customWidth="1"/>
    <col min="14594" max="14604" width="15.44140625" style="621" customWidth="1"/>
    <col min="14605" max="14605" width="14.33203125" style="621" customWidth="1"/>
    <col min="14606" max="14848" width="9.33203125" style="621"/>
    <col min="14849" max="14849" width="44.33203125" style="621" customWidth="1"/>
    <col min="14850" max="14860" width="15.44140625" style="621" customWidth="1"/>
    <col min="14861" max="14861" width="14.33203125" style="621" customWidth="1"/>
    <col min="14862" max="15104" width="9.33203125" style="621"/>
    <col min="15105" max="15105" width="44.33203125" style="621" customWidth="1"/>
    <col min="15106" max="15116" width="15.44140625" style="621" customWidth="1"/>
    <col min="15117" max="15117" width="14.33203125" style="621" customWidth="1"/>
    <col min="15118" max="15360" width="9.33203125" style="621"/>
    <col min="15361" max="15361" width="44.33203125" style="621" customWidth="1"/>
    <col min="15362" max="15372" width="15.44140625" style="621" customWidth="1"/>
    <col min="15373" max="15373" width="14.33203125" style="621" customWidth="1"/>
    <col min="15374" max="15616" width="9.33203125" style="621"/>
    <col min="15617" max="15617" width="44.33203125" style="621" customWidth="1"/>
    <col min="15618" max="15628" width="15.44140625" style="621" customWidth="1"/>
    <col min="15629" max="15629" width="14.33203125" style="621" customWidth="1"/>
    <col min="15630" max="15872" width="9.33203125" style="621"/>
    <col min="15873" max="15873" width="44.33203125" style="621" customWidth="1"/>
    <col min="15874" max="15884" width="15.44140625" style="621" customWidth="1"/>
    <col min="15885" max="15885" width="14.33203125" style="621" customWidth="1"/>
    <col min="15886" max="16128" width="9.33203125" style="621"/>
    <col min="16129" max="16129" width="44.33203125" style="621" customWidth="1"/>
    <col min="16130" max="16140" width="15.44140625" style="621" customWidth="1"/>
    <col min="16141" max="16141" width="14.33203125" style="621" customWidth="1"/>
    <col min="16142" max="16384" width="9.33203125" style="621"/>
  </cols>
  <sheetData>
    <row r="1" spans="1:12" x14ac:dyDescent="0.25">
      <c r="A1" s="618"/>
    </row>
    <row r="2" spans="1:12" s="624" customFormat="1" x14ac:dyDescent="0.25">
      <c r="A2" s="814" t="s">
        <v>808</v>
      </c>
      <c r="B2" s="814"/>
      <c r="C2" s="814"/>
      <c r="D2" s="814"/>
      <c r="E2" s="814"/>
      <c r="F2" s="622"/>
      <c r="G2" s="623"/>
      <c r="H2" s="623"/>
      <c r="I2" s="623"/>
      <c r="J2" s="623"/>
      <c r="K2" s="623"/>
      <c r="L2" s="623"/>
    </row>
    <row r="3" spans="1:12" s="624" customFormat="1" ht="10.199999999999999" x14ac:dyDescent="0.2">
      <c r="B3" s="622"/>
      <c r="C3" s="623"/>
      <c r="D3" s="623"/>
      <c r="E3" s="623"/>
      <c r="F3" s="622"/>
      <c r="G3" s="623"/>
      <c r="H3" s="623"/>
      <c r="I3" s="623"/>
      <c r="J3" s="623"/>
      <c r="K3" s="623"/>
      <c r="L3" s="623"/>
    </row>
    <row r="4" spans="1:12" ht="38.25" customHeight="1" x14ac:dyDescent="0.25">
      <c r="A4" s="625" t="s">
        <v>145</v>
      </c>
      <c r="B4" s="811" t="s">
        <v>146</v>
      </c>
      <c r="C4" s="812"/>
      <c r="D4" s="811" t="s">
        <v>924</v>
      </c>
      <c r="E4" s="812"/>
      <c r="F4" s="811" t="s">
        <v>147</v>
      </c>
      <c r="G4" s="812"/>
      <c r="H4" s="811" t="s">
        <v>925</v>
      </c>
      <c r="I4" s="813"/>
    </row>
    <row r="5" spans="1:12" x14ac:dyDescent="0.25">
      <c r="A5" s="626" t="s">
        <v>144</v>
      </c>
      <c r="B5" s="627">
        <v>44196</v>
      </c>
      <c r="C5" s="627">
        <v>43830</v>
      </c>
      <c r="D5" s="627">
        <v>44196</v>
      </c>
      <c r="E5" s="627">
        <v>43830</v>
      </c>
      <c r="F5" s="627">
        <v>44196</v>
      </c>
      <c r="G5" s="627">
        <v>43830</v>
      </c>
      <c r="H5" s="627">
        <v>44196</v>
      </c>
      <c r="I5" s="627">
        <v>43830</v>
      </c>
    </row>
    <row r="6" spans="1:12" x14ac:dyDescent="0.25">
      <c r="A6" s="628" t="s">
        <v>693</v>
      </c>
      <c r="B6" s="629">
        <v>137396</v>
      </c>
      <c r="C6" s="629">
        <f>417356+12000</f>
        <v>429356</v>
      </c>
      <c r="D6" s="629">
        <f>45129+212778</f>
        <v>257907</v>
      </c>
      <c r="E6" s="629">
        <f>319077+212778</f>
        <v>531855</v>
      </c>
      <c r="F6" s="629">
        <v>4400</v>
      </c>
      <c r="G6" s="629">
        <v>340558</v>
      </c>
      <c r="H6" s="629">
        <v>0</v>
      </c>
      <c r="I6" s="629">
        <v>20830</v>
      </c>
    </row>
    <row r="7" spans="1:12" x14ac:dyDescent="0.25">
      <c r="A7" s="628" t="s">
        <v>633</v>
      </c>
      <c r="B7" s="630">
        <v>0</v>
      </c>
      <c r="C7" s="629">
        <v>0</v>
      </c>
      <c r="D7" s="629">
        <v>0</v>
      </c>
      <c r="E7" s="629">
        <v>0</v>
      </c>
      <c r="F7" s="629">
        <v>0</v>
      </c>
      <c r="G7" s="630">
        <v>0</v>
      </c>
      <c r="H7" s="629">
        <v>0</v>
      </c>
      <c r="I7" s="629">
        <v>0</v>
      </c>
    </row>
    <row r="8" spans="1:12" x14ac:dyDescent="0.25">
      <c r="A8" s="631" t="s">
        <v>677</v>
      </c>
      <c r="B8" s="629">
        <v>4632</v>
      </c>
      <c r="C8" s="629">
        <f>11476+2740</f>
        <v>14216</v>
      </c>
      <c r="D8" s="629">
        <v>1968</v>
      </c>
      <c r="E8" s="629">
        <v>3252</v>
      </c>
      <c r="F8" s="629">
        <v>3000</v>
      </c>
      <c r="G8" s="629">
        <f>13365+16000+13450+16000+12000+12000+12000+10500+12000</f>
        <v>117315</v>
      </c>
      <c r="H8" s="629">
        <v>0</v>
      </c>
      <c r="I8" s="629">
        <v>2583</v>
      </c>
    </row>
  </sheetData>
  <mergeCells count="5">
    <mergeCell ref="B4:C4"/>
    <mergeCell ref="D4:E4"/>
    <mergeCell ref="F4:G4"/>
    <mergeCell ref="H4:I4"/>
    <mergeCell ref="A2:E2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/>
  <dimension ref="A1:E71"/>
  <sheetViews>
    <sheetView showGridLines="0" zoomScaleNormal="100" zoomScaleSheetLayoutView="100" workbookViewId="0">
      <selection activeCell="K30" sqref="K30"/>
    </sheetView>
  </sheetViews>
  <sheetFormatPr defaultColWidth="9.33203125" defaultRowHeight="10.199999999999999" x14ac:dyDescent="0.2"/>
  <cols>
    <col min="1" max="1" width="41.5546875" style="41" customWidth="1"/>
    <col min="2" max="2" width="16" style="41" customWidth="1"/>
    <col min="3" max="4" width="9.33203125" style="41" bestFit="1" customWidth="1"/>
    <col min="5" max="5" width="15.33203125" style="41" customWidth="1"/>
    <col min="6" max="16384" width="9.33203125" style="41"/>
  </cols>
  <sheetData>
    <row r="1" spans="1:5" s="44" customFormat="1" x14ac:dyDescent="0.2">
      <c r="A1" s="178"/>
      <c r="B1" s="178"/>
    </row>
    <row r="2" spans="1:5" ht="11.25" customHeight="1" x14ac:dyDescent="0.25">
      <c r="A2" s="399" t="s">
        <v>1087</v>
      </c>
      <c r="B2" s="399"/>
    </row>
    <row r="3" spans="1:5" x14ac:dyDescent="0.2">
      <c r="A3" s="208"/>
      <c r="B3" s="205"/>
    </row>
    <row r="4" spans="1:5" s="1" customFormat="1" x14ac:dyDescent="0.2">
      <c r="A4" s="133" t="s">
        <v>24</v>
      </c>
      <c r="B4" s="133"/>
    </row>
    <row r="5" spans="1:5" s="1" customFormat="1" ht="20.399999999999999" x14ac:dyDescent="0.2">
      <c r="A5" s="788"/>
      <c r="B5" s="789"/>
      <c r="C5" s="117" t="str">
        <f>'Dane podstawowe'!$B$7</f>
        <v>01.01.2020-31.12.2020</v>
      </c>
      <c r="D5" s="117" t="str">
        <f>'Dane podstawowe'!$B$12</f>
        <v>01.01.2019-31.12.2019</v>
      </c>
    </row>
    <row r="6" spans="1:5" s="202" customFormat="1" ht="10.199999999999999" customHeight="1" x14ac:dyDescent="0.2">
      <c r="A6" s="821" t="s">
        <v>10</v>
      </c>
      <c r="B6" s="822"/>
      <c r="C6" s="702">
        <v>1857283.84</v>
      </c>
      <c r="D6" s="155">
        <v>2016611</v>
      </c>
    </row>
    <row r="7" spans="1:5" s="202" customFormat="1" x14ac:dyDescent="0.2">
      <c r="A7" s="532" t="s">
        <v>632</v>
      </c>
      <c r="B7" s="533"/>
      <c r="C7" s="703">
        <v>159814</v>
      </c>
      <c r="D7" s="480">
        <v>207667</v>
      </c>
    </row>
    <row r="8" spans="1:5" s="202" customFormat="1" x14ac:dyDescent="0.2">
      <c r="A8" s="532" t="s">
        <v>657</v>
      </c>
      <c r="B8" s="533"/>
      <c r="C8" s="703">
        <v>0</v>
      </c>
      <c r="D8" s="480">
        <v>0</v>
      </c>
    </row>
    <row r="9" spans="1:5" s="1" customFormat="1" x14ac:dyDescent="0.2">
      <c r="A9" s="823" t="s">
        <v>11</v>
      </c>
      <c r="B9" s="824"/>
      <c r="C9" s="703">
        <v>0</v>
      </c>
      <c r="D9" s="480">
        <v>0</v>
      </c>
    </row>
    <row r="10" spans="1:5" s="202" customFormat="1" x14ac:dyDescent="0.2">
      <c r="A10" s="823" t="s">
        <v>12</v>
      </c>
      <c r="B10" s="824"/>
      <c r="C10" s="703">
        <v>188251</v>
      </c>
      <c r="D10" s="480">
        <v>0</v>
      </c>
    </row>
    <row r="11" spans="1:5" s="1" customFormat="1" x14ac:dyDescent="0.2">
      <c r="A11" s="823" t="s">
        <v>13</v>
      </c>
      <c r="B11" s="824"/>
      <c r="C11" s="703">
        <v>0</v>
      </c>
      <c r="D11" s="480">
        <v>0</v>
      </c>
    </row>
    <row r="12" spans="1:5" s="202" customFormat="1" x14ac:dyDescent="0.2">
      <c r="A12" s="823" t="s">
        <v>14</v>
      </c>
      <c r="B12" s="824"/>
      <c r="C12" s="702">
        <v>14625</v>
      </c>
      <c r="D12" s="155">
        <v>14625</v>
      </c>
    </row>
    <row r="13" spans="1:5" s="202" customFormat="1" x14ac:dyDescent="0.2">
      <c r="A13" s="825" t="s">
        <v>531</v>
      </c>
      <c r="B13" s="826"/>
      <c r="C13" s="703">
        <v>0</v>
      </c>
      <c r="D13" s="480">
        <v>0</v>
      </c>
    </row>
    <row r="14" spans="1:5" x14ac:dyDescent="0.2">
      <c r="A14" s="794" t="s">
        <v>25</v>
      </c>
      <c r="B14" s="795"/>
      <c r="C14" s="45">
        <f>SUM(C6:C13)</f>
        <v>2219973.84</v>
      </c>
      <c r="D14" s="45">
        <f>SUM(D6:D13)</f>
        <v>2238903</v>
      </c>
    </row>
    <row r="15" spans="1:5" x14ac:dyDescent="0.2">
      <c r="A15" s="73"/>
      <c r="B15" s="73"/>
      <c r="C15" s="239"/>
      <c r="D15" s="239"/>
      <c r="E15" s="239"/>
    </row>
    <row r="16" spans="1:5" s="1" customFormat="1" x14ac:dyDescent="0.2">
      <c r="A16" s="133"/>
      <c r="B16" s="133"/>
    </row>
    <row r="17" spans="1:4" s="1" customFormat="1" x14ac:dyDescent="0.2">
      <c r="A17" s="154" t="s">
        <v>117</v>
      </c>
      <c r="B17" s="154"/>
    </row>
    <row r="18" spans="1:4" s="1" customFormat="1" ht="20.399999999999999" x14ac:dyDescent="0.2">
      <c r="A18" s="788"/>
      <c r="B18" s="789"/>
      <c r="C18" s="117" t="str">
        <f>'Dane podstawowe'!$B$7</f>
        <v>01.01.2020-31.12.2020</v>
      </c>
      <c r="D18" s="117" t="str">
        <f>'Dane podstawowe'!$B$12</f>
        <v>01.01.2019-31.12.2019</v>
      </c>
    </row>
    <row r="19" spans="1:4" s="202" customFormat="1" ht="10.199999999999999" customHeight="1" x14ac:dyDescent="0.2">
      <c r="A19" s="819" t="s">
        <v>10</v>
      </c>
      <c r="B19" s="820"/>
      <c r="C19" s="704">
        <v>2477305.0300000003</v>
      </c>
      <c r="D19" s="155">
        <v>4098356</v>
      </c>
    </row>
    <row r="20" spans="1:4" s="202" customFormat="1" x14ac:dyDescent="0.2">
      <c r="A20" s="530" t="s">
        <v>632</v>
      </c>
      <c r="B20" s="531"/>
      <c r="C20" s="705">
        <v>0</v>
      </c>
      <c r="D20" s="481">
        <v>0</v>
      </c>
    </row>
    <row r="21" spans="1:4" s="1" customFormat="1" x14ac:dyDescent="0.2">
      <c r="A21" s="815" t="s">
        <v>11</v>
      </c>
      <c r="B21" s="816"/>
      <c r="C21" s="705">
        <v>0</v>
      </c>
      <c r="D21" s="481">
        <v>0</v>
      </c>
    </row>
    <row r="22" spans="1:4" s="202" customFormat="1" x14ac:dyDescent="0.2">
      <c r="A22" s="815" t="s">
        <v>12</v>
      </c>
      <c r="B22" s="816"/>
      <c r="C22" s="705">
        <v>0</v>
      </c>
      <c r="D22" s="481">
        <v>0</v>
      </c>
    </row>
    <row r="23" spans="1:4" s="1" customFormat="1" x14ac:dyDescent="0.2">
      <c r="A23" s="815" t="s">
        <v>13</v>
      </c>
      <c r="B23" s="816"/>
      <c r="C23" s="705">
        <v>0</v>
      </c>
      <c r="D23" s="481">
        <v>2248</v>
      </c>
    </row>
    <row r="24" spans="1:4" s="202" customFormat="1" x14ac:dyDescent="0.2">
      <c r="A24" s="815" t="s">
        <v>14</v>
      </c>
      <c r="B24" s="816"/>
      <c r="C24" s="705">
        <v>0</v>
      </c>
      <c r="D24" s="481">
        <v>0</v>
      </c>
    </row>
    <row r="25" spans="1:4" x14ac:dyDescent="0.2">
      <c r="A25" s="794" t="s">
        <v>25</v>
      </c>
      <c r="B25" s="795"/>
      <c r="C25" s="45">
        <f>SUM(C19:C24)</f>
        <v>2477305.0300000003</v>
      </c>
      <c r="D25" s="45">
        <f>SUM(D19:D24)</f>
        <v>4100604</v>
      </c>
    </row>
    <row r="26" spans="1:4" x14ac:dyDescent="0.2">
      <c r="A26" s="73"/>
      <c r="B26" s="73"/>
      <c r="C26" s="239"/>
      <c r="D26" s="239"/>
    </row>
    <row r="27" spans="1:4" x14ac:dyDescent="0.2">
      <c r="A27" s="73"/>
      <c r="B27" s="73"/>
      <c r="C27" s="239"/>
      <c r="D27" s="239"/>
    </row>
    <row r="28" spans="1:4" x14ac:dyDescent="0.2">
      <c r="A28" s="133" t="s">
        <v>640</v>
      </c>
      <c r="B28" s="133"/>
      <c r="C28" s="1"/>
      <c r="D28" s="1"/>
    </row>
    <row r="29" spans="1:4" ht="20.399999999999999" x14ac:dyDescent="0.2">
      <c r="A29" s="788"/>
      <c r="B29" s="789"/>
      <c r="C29" s="117" t="str">
        <f>'Dane podstawowe'!$B$7</f>
        <v>01.01.2020-31.12.2020</v>
      </c>
      <c r="D29" s="117" t="str">
        <f>D18</f>
        <v>01.01.2019-31.12.2019</v>
      </c>
    </row>
    <row r="30" spans="1:4" ht="10.199999999999999" customHeight="1" x14ac:dyDescent="0.2">
      <c r="A30" s="819" t="s">
        <v>10</v>
      </c>
      <c r="B30" s="820"/>
      <c r="C30" s="706">
        <v>75204</v>
      </c>
      <c r="D30" s="481">
        <v>63196</v>
      </c>
    </row>
    <row r="31" spans="1:4" x14ac:dyDescent="0.2">
      <c r="A31" s="530" t="s">
        <v>632</v>
      </c>
      <c r="B31" s="531"/>
      <c r="C31" s="706">
        <v>0</v>
      </c>
      <c r="D31" s="481">
        <v>0</v>
      </c>
    </row>
    <row r="32" spans="1:4" x14ac:dyDescent="0.2">
      <c r="A32" s="815" t="s">
        <v>11</v>
      </c>
      <c r="B32" s="816"/>
      <c r="C32" s="706">
        <v>0</v>
      </c>
      <c r="D32" s="481">
        <v>0</v>
      </c>
    </row>
    <row r="33" spans="1:4" x14ac:dyDescent="0.2">
      <c r="A33" s="815" t="s">
        <v>12</v>
      </c>
      <c r="B33" s="816"/>
      <c r="C33" s="706">
        <v>0</v>
      </c>
      <c r="D33" s="481">
        <v>0</v>
      </c>
    </row>
    <row r="34" spans="1:4" x14ac:dyDescent="0.2">
      <c r="A34" s="815" t="s">
        <v>13</v>
      </c>
      <c r="B34" s="816"/>
      <c r="C34" s="706">
        <v>22893</v>
      </c>
      <c r="D34" s="481">
        <v>0</v>
      </c>
    </row>
    <row r="35" spans="1:4" x14ac:dyDescent="0.2">
      <c r="A35" s="815" t="s">
        <v>14</v>
      </c>
      <c r="B35" s="816"/>
      <c r="C35" s="706">
        <v>0</v>
      </c>
      <c r="D35" s="481">
        <v>0</v>
      </c>
    </row>
    <row r="36" spans="1:4" x14ac:dyDescent="0.2">
      <c r="A36" s="817" t="s">
        <v>531</v>
      </c>
      <c r="B36" s="818"/>
      <c r="C36" s="706">
        <v>0</v>
      </c>
      <c r="D36" s="481">
        <v>0</v>
      </c>
    </row>
    <row r="37" spans="1:4" x14ac:dyDescent="0.2">
      <c r="A37" s="794" t="s">
        <v>25</v>
      </c>
      <c r="B37" s="795"/>
      <c r="C37" s="45">
        <f>SUM(C30:C36)</f>
        <v>98097</v>
      </c>
      <c r="D37" s="45">
        <f>SUM(D30:D36)</f>
        <v>63196</v>
      </c>
    </row>
    <row r="38" spans="1:4" x14ac:dyDescent="0.2">
      <c r="A38" s="73"/>
      <c r="B38" s="73"/>
      <c r="C38" s="239"/>
      <c r="D38" s="239"/>
    </row>
    <row r="39" spans="1:4" x14ac:dyDescent="0.2">
      <c r="A39" s="73"/>
      <c r="B39" s="73"/>
      <c r="C39" s="239"/>
      <c r="D39" s="239"/>
    </row>
    <row r="40" spans="1:4" x14ac:dyDescent="0.2">
      <c r="A40" s="3"/>
      <c r="B40" s="3"/>
      <c r="C40" s="5"/>
      <c r="D40" s="5"/>
    </row>
    <row r="41" spans="1:4" x14ac:dyDescent="0.2">
      <c r="A41" s="3"/>
      <c r="B41" s="3"/>
      <c r="C41" s="5"/>
      <c r="D41" s="5"/>
    </row>
    <row r="42" spans="1:4" x14ac:dyDescent="0.2">
      <c r="A42" s="3"/>
      <c r="B42" s="3"/>
      <c r="C42" s="5"/>
      <c r="D42" s="5"/>
    </row>
    <row r="43" spans="1:4" x14ac:dyDescent="0.2">
      <c r="A43" s="3"/>
      <c r="B43" s="3"/>
      <c r="C43" s="5"/>
      <c r="D43" s="5"/>
    </row>
    <row r="44" spans="1:4" x14ac:dyDescent="0.2">
      <c r="A44" s="3"/>
      <c r="B44" s="3"/>
      <c r="C44" s="5"/>
      <c r="D44" s="5"/>
    </row>
    <row r="45" spans="1:4" x14ac:dyDescent="0.2">
      <c r="A45" s="3"/>
      <c r="B45" s="3"/>
      <c r="C45" s="5"/>
      <c r="D45" s="5"/>
    </row>
    <row r="46" spans="1:4" x14ac:dyDescent="0.2">
      <c r="A46" s="3"/>
      <c r="B46" s="3"/>
      <c r="C46" s="5"/>
      <c r="D46" s="5"/>
    </row>
    <row r="47" spans="1:4" x14ac:dyDescent="0.2">
      <c r="A47" s="3"/>
      <c r="B47" s="3"/>
      <c r="C47" s="5"/>
      <c r="D47" s="5"/>
    </row>
    <row r="48" spans="1:4" x14ac:dyDescent="0.2">
      <c r="A48" s="3"/>
      <c r="B48" s="3"/>
      <c r="C48" s="5"/>
      <c r="D48" s="5"/>
    </row>
    <row r="49" spans="1:4" x14ac:dyDescent="0.2">
      <c r="A49" s="3"/>
      <c r="B49" s="3"/>
      <c r="C49" s="5"/>
      <c r="D49" s="5"/>
    </row>
    <row r="50" spans="1:4" x14ac:dyDescent="0.2">
      <c r="A50" s="3"/>
      <c r="B50" s="3"/>
      <c r="C50" s="5"/>
      <c r="D50" s="5"/>
    </row>
    <row r="51" spans="1:4" x14ac:dyDescent="0.2">
      <c r="A51" s="3"/>
      <c r="B51" s="3"/>
      <c r="C51" s="5"/>
      <c r="D51" s="5"/>
    </row>
    <row r="52" spans="1:4" x14ac:dyDescent="0.2">
      <c r="A52" s="3"/>
      <c r="B52" s="3"/>
      <c r="C52" s="5"/>
      <c r="D52" s="5"/>
    </row>
    <row r="53" spans="1:4" x14ac:dyDescent="0.2">
      <c r="A53" s="3"/>
      <c r="B53" s="3"/>
      <c r="C53" s="5"/>
      <c r="D53" s="5"/>
    </row>
    <row r="54" spans="1:4" x14ac:dyDescent="0.2">
      <c r="A54" s="3"/>
      <c r="B54" s="3"/>
      <c r="C54" s="5"/>
      <c r="D54" s="5"/>
    </row>
    <row r="55" spans="1:4" x14ac:dyDescent="0.2">
      <c r="A55" s="3"/>
      <c r="B55" s="3"/>
      <c r="C55" s="5"/>
      <c r="D55" s="5"/>
    </row>
    <row r="56" spans="1:4" x14ac:dyDescent="0.2">
      <c r="A56" s="3"/>
      <c r="B56" s="3"/>
      <c r="C56" s="5"/>
      <c r="D56" s="5"/>
    </row>
    <row r="57" spans="1:4" x14ac:dyDescent="0.2">
      <c r="A57" s="3"/>
      <c r="B57" s="3"/>
      <c r="C57" s="5"/>
      <c r="D57" s="5"/>
    </row>
    <row r="58" spans="1:4" x14ac:dyDescent="0.2">
      <c r="A58" s="3"/>
      <c r="B58" s="3"/>
      <c r="C58" s="5"/>
      <c r="D58" s="5"/>
    </row>
    <row r="59" spans="1:4" x14ac:dyDescent="0.2">
      <c r="A59" s="3"/>
      <c r="B59" s="3"/>
      <c r="C59" s="5"/>
      <c r="D59" s="5"/>
    </row>
    <row r="60" spans="1:4" x14ac:dyDescent="0.2">
      <c r="A60" s="3"/>
      <c r="B60" s="3"/>
      <c r="C60" s="5"/>
      <c r="D60" s="5"/>
    </row>
    <row r="61" spans="1:4" x14ac:dyDescent="0.2">
      <c r="A61" s="3"/>
      <c r="B61" s="3"/>
      <c r="C61" s="5"/>
      <c r="D61" s="5"/>
    </row>
    <row r="62" spans="1:4" x14ac:dyDescent="0.2">
      <c r="A62" s="3"/>
      <c r="B62" s="3"/>
      <c r="C62" s="5"/>
      <c r="D62" s="5"/>
    </row>
    <row r="63" spans="1:4" x14ac:dyDescent="0.2">
      <c r="A63" s="3"/>
      <c r="B63" s="3"/>
      <c r="C63" s="5"/>
      <c r="D63" s="5"/>
    </row>
    <row r="64" spans="1:4" x14ac:dyDescent="0.2">
      <c r="A64" s="3"/>
      <c r="B64" s="3"/>
      <c r="C64" s="5"/>
      <c r="D64" s="5"/>
    </row>
    <row r="65" spans="1:4" x14ac:dyDescent="0.2">
      <c r="A65" s="3"/>
      <c r="B65" s="3"/>
      <c r="C65" s="5"/>
      <c r="D65" s="5"/>
    </row>
    <row r="66" spans="1:4" x14ac:dyDescent="0.2">
      <c r="A66" s="3"/>
      <c r="B66" s="3"/>
      <c r="C66" s="5"/>
      <c r="D66" s="5"/>
    </row>
    <row r="67" spans="1:4" x14ac:dyDescent="0.2">
      <c r="A67" s="3"/>
      <c r="B67" s="3"/>
      <c r="C67" s="5"/>
      <c r="D67" s="5"/>
    </row>
    <row r="68" spans="1:4" x14ac:dyDescent="0.2">
      <c r="A68" s="3"/>
      <c r="B68" s="3"/>
      <c r="C68" s="5"/>
      <c r="D68" s="5"/>
    </row>
    <row r="69" spans="1:4" x14ac:dyDescent="0.2">
      <c r="A69" s="3"/>
      <c r="B69" s="3"/>
      <c r="C69" s="5"/>
      <c r="D69" s="5"/>
    </row>
    <row r="70" spans="1:4" x14ac:dyDescent="0.2">
      <c r="A70" s="3"/>
      <c r="B70" s="3"/>
      <c r="C70" s="5"/>
      <c r="D70" s="5"/>
    </row>
    <row r="71" spans="1:4" x14ac:dyDescent="0.2">
      <c r="A71" s="3"/>
      <c r="B71" s="3"/>
      <c r="C71" s="5"/>
      <c r="D71" s="5"/>
    </row>
  </sheetData>
  <mergeCells count="23">
    <mergeCell ref="A29:B29"/>
    <mergeCell ref="A25:B25"/>
    <mergeCell ref="A5:B5"/>
    <mergeCell ref="A14:B14"/>
    <mergeCell ref="A18:B18"/>
    <mergeCell ref="A6:B6"/>
    <mergeCell ref="A9:B9"/>
    <mergeCell ref="A12:B12"/>
    <mergeCell ref="A13:B13"/>
    <mergeCell ref="A10:B10"/>
    <mergeCell ref="A11:B11"/>
    <mergeCell ref="A23:B23"/>
    <mergeCell ref="A24:B24"/>
    <mergeCell ref="A22:B22"/>
    <mergeCell ref="A19:B19"/>
    <mergeCell ref="A21:B21"/>
    <mergeCell ref="A37:B37"/>
    <mergeCell ref="A34:B34"/>
    <mergeCell ref="A35:B35"/>
    <mergeCell ref="A36:B36"/>
    <mergeCell ref="A30:B30"/>
    <mergeCell ref="A32:B32"/>
    <mergeCell ref="A33:B33"/>
  </mergeCells>
  <phoneticPr fontId="31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pageSetUpPr fitToPage="1"/>
  </sheetPr>
  <dimension ref="A1:C22"/>
  <sheetViews>
    <sheetView showGridLines="0" view="pageBreakPreview" zoomScaleNormal="100" zoomScaleSheetLayoutView="100" workbookViewId="0">
      <selection activeCell="B5" sqref="B5:C5"/>
    </sheetView>
  </sheetViews>
  <sheetFormatPr defaultRowHeight="13.2" x14ac:dyDescent="0.25"/>
  <cols>
    <col min="1" max="1" width="53.6640625" customWidth="1"/>
    <col min="2" max="2" width="22.5546875" customWidth="1"/>
    <col min="3" max="3" width="18.33203125" bestFit="1" customWidth="1"/>
    <col min="4" max="4" width="18.33203125" customWidth="1"/>
    <col min="257" max="257" width="53.6640625" customWidth="1"/>
    <col min="258" max="258" width="22.5546875" customWidth="1"/>
    <col min="259" max="259" width="18.33203125" bestFit="1" customWidth="1"/>
    <col min="260" max="260" width="18.33203125" customWidth="1"/>
    <col min="513" max="513" width="53.6640625" customWidth="1"/>
    <col min="514" max="514" width="22.5546875" customWidth="1"/>
    <col min="515" max="515" width="18.33203125" bestFit="1" customWidth="1"/>
    <col min="516" max="516" width="18.33203125" customWidth="1"/>
    <col min="769" max="769" width="53.6640625" customWidth="1"/>
    <col min="770" max="770" width="22.5546875" customWidth="1"/>
    <col min="771" max="771" width="18.33203125" bestFit="1" customWidth="1"/>
    <col min="772" max="772" width="18.33203125" customWidth="1"/>
    <col min="1025" max="1025" width="53.6640625" customWidth="1"/>
    <col min="1026" max="1026" width="22.5546875" customWidth="1"/>
    <col min="1027" max="1027" width="18.33203125" bestFit="1" customWidth="1"/>
    <col min="1028" max="1028" width="18.33203125" customWidth="1"/>
    <col min="1281" max="1281" width="53.6640625" customWidth="1"/>
    <col min="1282" max="1282" width="22.5546875" customWidth="1"/>
    <col min="1283" max="1283" width="18.33203125" bestFit="1" customWidth="1"/>
    <col min="1284" max="1284" width="18.33203125" customWidth="1"/>
    <col min="1537" max="1537" width="53.6640625" customWidth="1"/>
    <col min="1538" max="1538" width="22.5546875" customWidth="1"/>
    <col min="1539" max="1539" width="18.33203125" bestFit="1" customWidth="1"/>
    <col min="1540" max="1540" width="18.33203125" customWidth="1"/>
    <col min="1793" max="1793" width="53.6640625" customWidth="1"/>
    <col min="1794" max="1794" width="22.5546875" customWidth="1"/>
    <col min="1795" max="1795" width="18.33203125" bestFit="1" customWidth="1"/>
    <col min="1796" max="1796" width="18.33203125" customWidth="1"/>
    <col min="2049" max="2049" width="53.6640625" customWidth="1"/>
    <col min="2050" max="2050" width="22.5546875" customWidth="1"/>
    <col min="2051" max="2051" width="18.33203125" bestFit="1" customWidth="1"/>
    <col min="2052" max="2052" width="18.33203125" customWidth="1"/>
    <col min="2305" max="2305" width="53.6640625" customWidth="1"/>
    <col min="2306" max="2306" width="22.5546875" customWidth="1"/>
    <col min="2307" max="2307" width="18.33203125" bestFit="1" customWidth="1"/>
    <col min="2308" max="2308" width="18.33203125" customWidth="1"/>
    <col min="2561" max="2561" width="53.6640625" customWidth="1"/>
    <col min="2562" max="2562" width="22.5546875" customWidth="1"/>
    <col min="2563" max="2563" width="18.33203125" bestFit="1" customWidth="1"/>
    <col min="2564" max="2564" width="18.33203125" customWidth="1"/>
    <col min="2817" max="2817" width="53.6640625" customWidth="1"/>
    <col min="2818" max="2818" width="22.5546875" customWidth="1"/>
    <col min="2819" max="2819" width="18.33203125" bestFit="1" customWidth="1"/>
    <col min="2820" max="2820" width="18.33203125" customWidth="1"/>
    <col min="3073" max="3073" width="53.6640625" customWidth="1"/>
    <col min="3074" max="3074" width="22.5546875" customWidth="1"/>
    <col min="3075" max="3075" width="18.33203125" bestFit="1" customWidth="1"/>
    <col min="3076" max="3076" width="18.33203125" customWidth="1"/>
    <col min="3329" max="3329" width="53.6640625" customWidth="1"/>
    <col min="3330" max="3330" width="22.5546875" customWidth="1"/>
    <col min="3331" max="3331" width="18.33203125" bestFit="1" customWidth="1"/>
    <col min="3332" max="3332" width="18.33203125" customWidth="1"/>
    <col min="3585" max="3585" width="53.6640625" customWidth="1"/>
    <col min="3586" max="3586" width="22.5546875" customWidth="1"/>
    <col min="3587" max="3587" width="18.33203125" bestFit="1" customWidth="1"/>
    <col min="3588" max="3588" width="18.33203125" customWidth="1"/>
    <col min="3841" max="3841" width="53.6640625" customWidth="1"/>
    <col min="3842" max="3842" width="22.5546875" customWidth="1"/>
    <col min="3843" max="3843" width="18.33203125" bestFit="1" customWidth="1"/>
    <col min="3844" max="3844" width="18.33203125" customWidth="1"/>
    <col min="4097" max="4097" width="53.6640625" customWidth="1"/>
    <col min="4098" max="4098" width="22.5546875" customWidth="1"/>
    <col min="4099" max="4099" width="18.33203125" bestFit="1" customWidth="1"/>
    <col min="4100" max="4100" width="18.33203125" customWidth="1"/>
    <col min="4353" max="4353" width="53.6640625" customWidth="1"/>
    <col min="4354" max="4354" width="22.5546875" customWidth="1"/>
    <col min="4355" max="4355" width="18.33203125" bestFit="1" customWidth="1"/>
    <col min="4356" max="4356" width="18.33203125" customWidth="1"/>
    <col min="4609" max="4609" width="53.6640625" customWidth="1"/>
    <col min="4610" max="4610" width="22.5546875" customWidth="1"/>
    <col min="4611" max="4611" width="18.33203125" bestFit="1" customWidth="1"/>
    <col min="4612" max="4612" width="18.33203125" customWidth="1"/>
    <col min="4865" max="4865" width="53.6640625" customWidth="1"/>
    <col min="4866" max="4866" width="22.5546875" customWidth="1"/>
    <col min="4867" max="4867" width="18.33203125" bestFit="1" customWidth="1"/>
    <col min="4868" max="4868" width="18.33203125" customWidth="1"/>
    <col min="5121" max="5121" width="53.6640625" customWidth="1"/>
    <col min="5122" max="5122" width="22.5546875" customWidth="1"/>
    <col min="5123" max="5123" width="18.33203125" bestFit="1" customWidth="1"/>
    <col min="5124" max="5124" width="18.33203125" customWidth="1"/>
    <col min="5377" max="5377" width="53.6640625" customWidth="1"/>
    <col min="5378" max="5378" width="22.5546875" customWidth="1"/>
    <col min="5379" max="5379" width="18.33203125" bestFit="1" customWidth="1"/>
    <col min="5380" max="5380" width="18.33203125" customWidth="1"/>
    <col min="5633" max="5633" width="53.6640625" customWidth="1"/>
    <col min="5634" max="5634" width="22.5546875" customWidth="1"/>
    <col min="5635" max="5635" width="18.33203125" bestFit="1" customWidth="1"/>
    <col min="5636" max="5636" width="18.33203125" customWidth="1"/>
    <col min="5889" max="5889" width="53.6640625" customWidth="1"/>
    <col min="5890" max="5890" width="22.5546875" customWidth="1"/>
    <col min="5891" max="5891" width="18.33203125" bestFit="1" customWidth="1"/>
    <col min="5892" max="5892" width="18.33203125" customWidth="1"/>
    <col min="6145" max="6145" width="53.6640625" customWidth="1"/>
    <col min="6146" max="6146" width="22.5546875" customWidth="1"/>
    <col min="6147" max="6147" width="18.33203125" bestFit="1" customWidth="1"/>
    <col min="6148" max="6148" width="18.33203125" customWidth="1"/>
    <col min="6401" max="6401" width="53.6640625" customWidth="1"/>
    <col min="6402" max="6402" width="22.5546875" customWidth="1"/>
    <col min="6403" max="6403" width="18.33203125" bestFit="1" customWidth="1"/>
    <col min="6404" max="6404" width="18.33203125" customWidth="1"/>
    <col min="6657" max="6657" width="53.6640625" customWidth="1"/>
    <col min="6658" max="6658" width="22.5546875" customWidth="1"/>
    <col min="6659" max="6659" width="18.33203125" bestFit="1" customWidth="1"/>
    <col min="6660" max="6660" width="18.33203125" customWidth="1"/>
    <col min="6913" max="6913" width="53.6640625" customWidth="1"/>
    <col min="6914" max="6914" width="22.5546875" customWidth="1"/>
    <col min="6915" max="6915" width="18.33203125" bestFit="1" customWidth="1"/>
    <col min="6916" max="6916" width="18.33203125" customWidth="1"/>
    <col min="7169" max="7169" width="53.6640625" customWidth="1"/>
    <col min="7170" max="7170" width="22.5546875" customWidth="1"/>
    <col min="7171" max="7171" width="18.33203125" bestFit="1" customWidth="1"/>
    <col min="7172" max="7172" width="18.33203125" customWidth="1"/>
    <col min="7425" max="7425" width="53.6640625" customWidth="1"/>
    <col min="7426" max="7426" width="22.5546875" customWidth="1"/>
    <col min="7427" max="7427" width="18.33203125" bestFit="1" customWidth="1"/>
    <col min="7428" max="7428" width="18.33203125" customWidth="1"/>
    <col min="7681" max="7681" width="53.6640625" customWidth="1"/>
    <col min="7682" max="7682" width="22.5546875" customWidth="1"/>
    <col min="7683" max="7683" width="18.33203125" bestFit="1" customWidth="1"/>
    <col min="7684" max="7684" width="18.33203125" customWidth="1"/>
    <col min="7937" max="7937" width="53.6640625" customWidth="1"/>
    <col min="7938" max="7938" width="22.5546875" customWidth="1"/>
    <col min="7939" max="7939" width="18.33203125" bestFit="1" customWidth="1"/>
    <col min="7940" max="7940" width="18.33203125" customWidth="1"/>
    <col min="8193" max="8193" width="53.6640625" customWidth="1"/>
    <col min="8194" max="8194" width="22.5546875" customWidth="1"/>
    <col min="8195" max="8195" width="18.33203125" bestFit="1" customWidth="1"/>
    <col min="8196" max="8196" width="18.33203125" customWidth="1"/>
    <col min="8449" max="8449" width="53.6640625" customWidth="1"/>
    <col min="8450" max="8450" width="22.5546875" customWidth="1"/>
    <col min="8451" max="8451" width="18.33203125" bestFit="1" customWidth="1"/>
    <col min="8452" max="8452" width="18.33203125" customWidth="1"/>
    <col min="8705" max="8705" width="53.6640625" customWidth="1"/>
    <col min="8706" max="8706" width="22.5546875" customWidth="1"/>
    <col min="8707" max="8707" width="18.33203125" bestFit="1" customWidth="1"/>
    <col min="8708" max="8708" width="18.33203125" customWidth="1"/>
    <col min="8961" max="8961" width="53.6640625" customWidth="1"/>
    <col min="8962" max="8962" width="22.5546875" customWidth="1"/>
    <col min="8963" max="8963" width="18.33203125" bestFit="1" customWidth="1"/>
    <col min="8964" max="8964" width="18.33203125" customWidth="1"/>
    <col min="9217" max="9217" width="53.6640625" customWidth="1"/>
    <col min="9218" max="9218" width="22.5546875" customWidth="1"/>
    <col min="9219" max="9219" width="18.33203125" bestFit="1" customWidth="1"/>
    <col min="9220" max="9220" width="18.33203125" customWidth="1"/>
    <col min="9473" max="9473" width="53.6640625" customWidth="1"/>
    <col min="9474" max="9474" width="22.5546875" customWidth="1"/>
    <col min="9475" max="9475" width="18.33203125" bestFit="1" customWidth="1"/>
    <col min="9476" max="9476" width="18.33203125" customWidth="1"/>
    <col min="9729" max="9729" width="53.6640625" customWidth="1"/>
    <col min="9730" max="9730" width="22.5546875" customWidth="1"/>
    <col min="9731" max="9731" width="18.33203125" bestFit="1" customWidth="1"/>
    <col min="9732" max="9732" width="18.33203125" customWidth="1"/>
    <col min="9985" max="9985" width="53.6640625" customWidth="1"/>
    <col min="9986" max="9986" width="22.5546875" customWidth="1"/>
    <col min="9987" max="9987" width="18.33203125" bestFit="1" customWidth="1"/>
    <col min="9988" max="9988" width="18.33203125" customWidth="1"/>
    <col min="10241" max="10241" width="53.6640625" customWidth="1"/>
    <col min="10242" max="10242" width="22.5546875" customWidth="1"/>
    <col min="10243" max="10243" width="18.33203125" bestFit="1" customWidth="1"/>
    <col min="10244" max="10244" width="18.33203125" customWidth="1"/>
    <col min="10497" max="10497" width="53.6640625" customWidth="1"/>
    <col min="10498" max="10498" width="22.5546875" customWidth="1"/>
    <col min="10499" max="10499" width="18.33203125" bestFit="1" customWidth="1"/>
    <col min="10500" max="10500" width="18.33203125" customWidth="1"/>
    <col min="10753" max="10753" width="53.6640625" customWidth="1"/>
    <col min="10754" max="10754" width="22.5546875" customWidth="1"/>
    <col min="10755" max="10755" width="18.33203125" bestFit="1" customWidth="1"/>
    <col min="10756" max="10756" width="18.33203125" customWidth="1"/>
    <col min="11009" max="11009" width="53.6640625" customWidth="1"/>
    <col min="11010" max="11010" width="22.5546875" customWidth="1"/>
    <col min="11011" max="11011" width="18.33203125" bestFit="1" customWidth="1"/>
    <col min="11012" max="11012" width="18.33203125" customWidth="1"/>
    <col min="11265" max="11265" width="53.6640625" customWidth="1"/>
    <col min="11266" max="11266" width="22.5546875" customWidth="1"/>
    <col min="11267" max="11267" width="18.33203125" bestFit="1" customWidth="1"/>
    <col min="11268" max="11268" width="18.33203125" customWidth="1"/>
    <col min="11521" max="11521" width="53.6640625" customWidth="1"/>
    <col min="11522" max="11522" width="22.5546875" customWidth="1"/>
    <col min="11523" max="11523" width="18.33203125" bestFit="1" customWidth="1"/>
    <col min="11524" max="11524" width="18.33203125" customWidth="1"/>
    <col min="11777" max="11777" width="53.6640625" customWidth="1"/>
    <col min="11778" max="11778" width="22.5546875" customWidth="1"/>
    <col min="11779" max="11779" width="18.33203125" bestFit="1" customWidth="1"/>
    <col min="11780" max="11780" width="18.33203125" customWidth="1"/>
    <col min="12033" max="12033" width="53.6640625" customWidth="1"/>
    <col min="12034" max="12034" width="22.5546875" customWidth="1"/>
    <col min="12035" max="12035" width="18.33203125" bestFit="1" customWidth="1"/>
    <col min="12036" max="12036" width="18.33203125" customWidth="1"/>
    <col min="12289" max="12289" width="53.6640625" customWidth="1"/>
    <col min="12290" max="12290" width="22.5546875" customWidth="1"/>
    <col min="12291" max="12291" width="18.33203125" bestFit="1" customWidth="1"/>
    <col min="12292" max="12292" width="18.33203125" customWidth="1"/>
    <col min="12545" max="12545" width="53.6640625" customWidth="1"/>
    <col min="12546" max="12546" width="22.5546875" customWidth="1"/>
    <col min="12547" max="12547" width="18.33203125" bestFit="1" customWidth="1"/>
    <col min="12548" max="12548" width="18.33203125" customWidth="1"/>
    <col min="12801" max="12801" width="53.6640625" customWidth="1"/>
    <col min="12802" max="12802" width="22.5546875" customWidth="1"/>
    <col min="12803" max="12803" width="18.33203125" bestFit="1" customWidth="1"/>
    <col min="12804" max="12804" width="18.33203125" customWidth="1"/>
    <col min="13057" max="13057" width="53.6640625" customWidth="1"/>
    <col min="13058" max="13058" width="22.5546875" customWidth="1"/>
    <col min="13059" max="13059" width="18.33203125" bestFit="1" customWidth="1"/>
    <col min="13060" max="13060" width="18.33203125" customWidth="1"/>
    <col min="13313" max="13313" width="53.6640625" customWidth="1"/>
    <col min="13314" max="13314" width="22.5546875" customWidth="1"/>
    <col min="13315" max="13315" width="18.33203125" bestFit="1" customWidth="1"/>
    <col min="13316" max="13316" width="18.33203125" customWidth="1"/>
    <col min="13569" max="13569" width="53.6640625" customWidth="1"/>
    <col min="13570" max="13570" width="22.5546875" customWidth="1"/>
    <col min="13571" max="13571" width="18.33203125" bestFit="1" customWidth="1"/>
    <col min="13572" max="13572" width="18.33203125" customWidth="1"/>
    <col min="13825" max="13825" width="53.6640625" customWidth="1"/>
    <col min="13826" max="13826" width="22.5546875" customWidth="1"/>
    <col min="13827" max="13827" width="18.33203125" bestFit="1" customWidth="1"/>
    <col min="13828" max="13828" width="18.33203125" customWidth="1"/>
    <col min="14081" max="14081" width="53.6640625" customWidth="1"/>
    <col min="14082" max="14082" width="22.5546875" customWidth="1"/>
    <col min="14083" max="14083" width="18.33203125" bestFit="1" customWidth="1"/>
    <col min="14084" max="14084" width="18.33203125" customWidth="1"/>
    <col min="14337" max="14337" width="53.6640625" customWidth="1"/>
    <col min="14338" max="14338" width="22.5546875" customWidth="1"/>
    <col min="14339" max="14339" width="18.33203125" bestFit="1" customWidth="1"/>
    <col min="14340" max="14340" width="18.33203125" customWidth="1"/>
    <col min="14593" max="14593" width="53.6640625" customWidth="1"/>
    <col min="14594" max="14594" width="22.5546875" customWidth="1"/>
    <col min="14595" max="14595" width="18.33203125" bestFit="1" customWidth="1"/>
    <col min="14596" max="14596" width="18.33203125" customWidth="1"/>
    <col min="14849" max="14849" width="53.6640625" customWidth="1"/>
    <col min="14850" max="14850" width="22.5546875" customWidth="1"/>
    <col min="14851" max="14851" width="18.33203125" bestFit="1" customWidth="1"/>
    <col min="14852" max="14852" width="18.33203125" customWidth="1"/>
    <col min="15105" max="15105" width="53.6640625" customWidth="1"/>
    <col min="15106" max="15106" width="22.5546875" customWidth="1"/>
    <col min="15107" max="15107" width="18.33203125" bestFit="1" customWidth="1"/>
    <col min="15108" max="15108" width="18.33203125" customWidth="1"/>
    <col min="15361" max="15361" width="53.6640625" customWidth="1"/>
    <col min="15362" max="15362" width="22.5546875" customWidth="1"/>
    <col min="15363" max="15363" width="18.33203125" bestFit="1" customWidth="1"/>
    <col min="15364" max="15364" width="18.33203125" customWidth="1"/>
    <col min="15617" max="15617" width="53.6640625" customWidth="1"/>
    <col min="15618" max="15618" width="22.5546875" customWidth="1"/>
    <col min="15619" max="15619" width="18.33203125" bestFit="1" customWidth="1"/>
    <col min="15620" max="15620" width="18.33203125" customWidth="1"/>
    <col min="15873" max="15873" width="53.6640625" customWidth="1"/>
    <col min="15874" max="15874" width="22.5546875" customWidth="1"/>
    <col min="15875" max="15875" width="18.33203125" bestFit="1" customWidth="1"/>
    <col min="15876" max="15876" width="18.33203125" customWidth="1"/>
    <col min="16129" max="16129" width="53.6640625" customWidth="1"/>
    <col min="16130" max="16130" width="22.5546875" customWidth="1"/>
    <col min="16131" max="16131" width="18.33203125" bestFit="1" customWidth="1"/>
    <col min="16132" max="16132" width="18.33203125" customWidth="1"/>
  </cols>
  <sheetData>
    <row r="1" spans="1:3" x14ac:dyDescent="0.25">
      <c r="A1" s="38"/>
    </row>
    <row r="2" spans="1:3" x14ac:dyDescent="0.25">
      <c r="A2" s="399" t="s">
        <v>1088</v>
      </c>
      <c r="B2" s="399"/>
      <c r="C2" s="44"/>
    </row>
    <row r="3" spans="1:3" x14ac:dyDescent="0.25">
      <c r="A3" s="3"/>
      <c r="B3" s="44"/>
      <c r="C3" s="44"/>
    </row>
    <row r="4" spans="1:3" x14ac:dyDescent="0.25">
      <c r="A4" s="52" t="s">
        <v>3</v>
      </c>
      <c r="B4" s="44"/>
      <c r="C4" s="44"/>
    </row>
    <row r="5" spans="1:3" x14ac:dyDescent="0.25">
      <c r="A5" s="44"/>
      <c r="B5" s="793"/>
      <c r="C5" s="793"/>
    </row>
    <row r="6" spans="1:3" x14ac:dyDescent="0.25">
      <c r="A6" s="101" t="s">
        <v>316</v>
      </c>
      <c r="B6" s="71" t="str">
        <f>'Dane podstawowe'!B7</f>
        <v>01.01.2020-31.12.2020</v>
      </c>
      <c r="C6" s="71" t="str">
        <f>'Dane podstawowe'!B12</f>
        <v>01.01.2019-31.12.2019</v>
      </c>
    </row>
    <row r="7" spans="1:3" x14ac:dyDescent="0.25">
      <c r="A7" s="502" t="s">
        <v>69</v>
      </c>
      <c r="B7" s="207">
        <v>43</v>
      </c>
      <c r="C7" s="207">
        <f>3+5+3+1+31</f>
        <v>43</v>
      </c>
    </row>
    <row r="8" spans="1:3" x14ac:dyDescent="0.25">
      <c r="A8" s="502" t="s">
        <v>811</v>
      </c>
      <c r="B8" s="207">
        <v>33</v>
      </c>
      <c r="C8" s="207">
        <f>5+1+1+5+47+9+11+1</f>
        <v>80</v>
      </c>
    </row>
    <row r="9" spans="1:3" x14ac:dyDescent="0.25">
      <c r="A9" s="502" t="s">
        <v>70</v>
      </c>
      <c r="B9" s="207">
        <v>31</v>
      </c>
      <c r="C9" s="207">
        <f>8+5+1+11+1+3+7</f>
        <v>36</v>
      </c>
    </row>
    <row r="10" spans="1:3" x14ac:dyDescent="0.25">
      <c r="A10" s="502" t="s">
        <v>604</v>
      </c>
      <c r="B10" s="207">
        <v>45</v>
      </c>
      <c r="C10" s="207">
        <f>3+8+3+3+6+4+24+13</f>
        <v>64</v>
      </c>
    </row>
    <row r="11" spans="1:3" s="565" customFormat="1" x14ac:dyDescent="0.25">
      <c r="A11" s="502" t="s">
        <v>810</v>
      </c>
      <c r="B11" s="207">
        <v>7</v>
      </c>
      <c r="C11" s="207">
        <f>3+5+2</f>
        <v>10</v>
      </c>
    </row>
    <row r="12" spans="1:3" x14ac:dyDescent="0.25">
      <c r="A12" s="502" t="s">
        <v>605</v>
      </c>
      <c r="B12" s="207">
        <v>12</v>
      </c>
      <c r="C12" s="207">
        <f>5+2</f>
        <v>7</v>
      </c>
    </row>
    <row r="13" spans="1:3" x14ac:dyDescent="0.25">
      <c r="A13" s="56" t="s">
        <v>27</v>
      </c>
      <c r="B13" s="90">
        <f>SUM(B7:B12)</f>
        <v>171</v>
      </c>
      <c r="C13" s="90">
        <f>SUM(C7:C12)</f>
        <v>240</v>
      </c>
    </row>
    <row r="14" spans="1:3" x14ac:dyDescent="0.25">
      <c r="A14" s="44"/>
      <c r="B14" s="44"/>
      <c r="C14" s="44"/>
    </row>
    <row r="15" spans="1:3" x14ac:dyDescent="0.25">
      <c r="A15" s="44"/>
      <c r="B15" s="44"/>
      <c r="C15" s="44"/>
    </row>
    <row r="16" spans="1:3" x14ac:dyDescent="0.25">
      <c r="A16" s="52" t="s">
        <v>26</v>
      </c>
      <c r="B16" s="44"/>
      <c r="C16" s="44"/>
    </row>
    <row r="17" spans="1:3" x14ac:dyDescent="0.25">
      <c r="A17" s="44"/>
      <c r="B17" s="44"/>
      <c r="C17" s="44"/>
    </row>
    <row r="18" spans="1:3" x14ac:dyDescent="0.25">
      <c r="A18" s="101" t="s">
        <v>316</v>
      </c>
      <c r="B18" s="71" t="str">
        <f>B6</f>
        <v>01.01.2020-31.12.2020</v>
      </c>
      <c r="C18" s="71" t="str">
        <f>C6</f>
        <v>01.01.2019-31.12.2019</v>
      </c>
    </row>
    <row r="19" spans="1:3" x14ac:dyDescent="0.25">
      <c r="A19" s="89" t="s">
        <v>1</v>
      </c>
      <c r="B19" s="163">
        <v>32</v>
      </c>
      <c r="C19" s="163">
        <f>8+22+9+1+8+1</f>
        <v>49</v>
      </c>
    </row>
    <row r="20" spans="1:3" x14ac:dyDescent="0.25">
      <c r="A20" s="89" t="s">
        <v>2</v>
      </c>
      <c r="B20" s="163">
        <v>28</v>
      </c>
      <c r="C20" s="163">
        <f>4+27+11+1+11+3</f>
        <v>57</v>
      </c>
    </row>
    <row r="21" spans="1:3" x14ac:dyDescent="0.25">
      <c r="A21" s="57" t="s">
        <v>27</v>
      </c>
      <c r="B21" s="131">
        <f>B19-B20</f>
        <v>4</v>
      </c>
      <c r="C21" s="131">
        <f>C19-C20</f>
        <v>-8</v>
      </c>
    </row>
    <row r="22" spans="1:3" x14ac:dyDescent="0.25">
      <c r="A22" s="44"/>
      <c r="B22" s="44"/>
      <c r="C22" s="44"/>
    </row>
  </sheetData>
  <mergeCells count="1">
    <mergeCell ref="B5:C5"/>
  </mergeCells>
  <phoneticPr fontId="31" type="noConversion"/>
  <pageMargins left="0.75" right="0.75" top="1" bottom="1" header="0.5" footer="0.5"/>
  <pageSetup paperSize="9" scale="67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9"/>
  <sheetViews>
    <sheetView showGridLines="0" view="pageBreakPreview" zoomScaleNormal="100" workbookViewId="0">
      <selection activeCell="B18" sqref="B18"/>
    </sheetView>
  </sheetViews>
  <sheetFormatPr defaultRowHeight="13.2" x14ac:dyDescent="0.25"/>
  <cols>
    <col min="2" max="2" width="46.5546875" customWidth="1"/>
    <col min="3" max="4" width="13.6640625" customWidth="1"/>
    <col min="5" max="5" width="14.6640625" customWidth="1"/>
  </cols>
  <sheetData>
    <row r="2" spans="2:4" x14ac:dyDescent="0.25">
      <c r="B2" s="399" t="s">
        <v>1089</v>
      </c>
      <c r="C2" s="399"/>
      <c r="D2" s="399"/>
    </row>
    <row r="3" spans="2:4" x14ac:dyDescent="0.25">
      <c r="B3" s="354"/>
    </row>
    <row r="4" spans="2:4" ht="20.399999999999999" x14ac:dyDescent="0.25">
      <c r="B4" s="356" t="s">
        <v>961</v>
      </c>
      <c r="C4" s="71" t="str">
        <f>'Dane podstawowe'!B7</f>
        <v>01.01.2020-31.12.2020</v>
      </c>
      <c r="D4" s="71" t="str">
        <f>'Dane podstawowe'!B12</f>
        <v>01.01.2019-31.12.2019</v>
      </c>
    </row>
    <row r="5" spans="2:4" ht="20.399999999999999" x14ac:dyDescent="0.25">
      <c r="B5" s="36" t="s">
        <v>304</v>
      </c>
      <c r="C5" s="207">
        <v>30000</v>
      </c>
      <c r="D5" s="207">
        <v>34000</v>
      </c>
    </row>
    <row r="6" spans="2:4" ht="30.6" x14ac:dyDescent="0.25">
      <c r="B6" s="453" t="s">
        <v>929</v>
      </c>
      <c r="C6" s="207">
        <v>18000</v>
      </c>
      <c r="D6" s="207">
        <f>16000</f>
        <v>16000</v>
      </c>
    </row>
    <row r="7" spans="2:4" x14ac:dyDescent="0.25">
      <c r="B7" s="453" t="s">
        <v>930</v>
      </c>
      <c r="C7" s="207">
        <v>5000</v>
      </c>
      <c r="D7" s="207">
        <v>0</v>
      </c>
    </row>
    <row r="8" spans="2:4" hidden="1" x14ac:dyDescent="0.25">
      <c r="B8" s="453" t="s">
        <v>636</v>
      </c>
      <c r="C8" s="207">
        <v>0</v>
      </c>
      <c r="D8" s="207">
        <v>0</v>
      </c>
    </row>
    <row r="9" spans="2:4" x14ac:dyDescent="0.25">
      <c r="B9" s="61" t="s">
        <v>508</v>
      </c>
      <c r="C9" s="90">
        <f>SUM(C5:C8)</f>
        <v>53000</v>
      </c>
      <c r="D9" s="90">
        <f>SUM(D5:D8)</f>
        <v>50000</v>
      </c>
    </row>
  </sheetData>
  <phoneticPr fontId="36" type="noConversion"/>
  <pageMargins left="0.75" right="0.75" top="1" bottom="1" header="0.5" footer="0.5"/>
  <pageSetup paperSize="9" scale="8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I75"/>
  <sheetViews>
    <sheetView showGridLines="0" view="pageBreakPreview" topLeftCell="A7" zoomScaleNormal="100" zoomScaleSheetLayoutView="100" workbookViewId="0">
      <selection activeCell="B15" sqref="B15"/>
    </sheetView>
  </sheetViews>
  <sheetFormatPr defaultColWidth="9.33203125" defaultRowHeight="13.2" x14ac:dyDescent="0.25"/>
  <cols>
    <col min="1" max="1" width="56.33203125" style="44" customWidth="1"/>
    <col min="2" max="3" width="13.6640625" style="44" customWidth="1"/>
    <col min="4" max="6" width="9.33203125" style="44"/>
  </cols>
  <sheetData>
    <row r="1" spans="1:9" x14ac:dyDescent="0.25">
      <c r="A1" s="38"/>
      <c r="B1"/>
      <c r="C1"/>
      <c r="D1"/>
      <c r="E1"/>
      <c r="F1"/>
    </row>
    <row r="2" spans="1:9" s="1" customFormat="1" x14ac:dyDescent="0.25">
      <c r="A2" s="399" t="s">
        <v>1090</v>
      </c>
      <c r="B2" s="399"/>
      <c r="C2" s="399"/>
    </row>
    <row r="3" spans="1:9" s="1" customFormat="1" ht="10.199999999999999" x14ac:dyDescent="0.2"/>
    <row r="4" spans="1:9" s="1" customFormat="1" ht="10.199999999999999" x14ac:dyDescent="0.2">
      <c r="A4" s="101" t="s">
        <v>316</v>
      </c>
      <c r="B4" s="435">
        <f>'Dane podstawowe'!$B$9</f>
        <v>44196</v>
      </c>
      <c r="C4" s="435">
        <v>43830</v>
      </c>
      <c r="G4" s="93"/>
      <c r="H4" s="93"/>
      <c r="I4" s="93"/>
    </row>
    <row r="5" spans="1:9" s="4" customFormat="1" ht="10.199999999999999" x14ac:dyDescent="0.25">
      <c r="A5" s="59" t="s">
        <v>379</v>
      </c>
      <c r="B5" s="127">
        <v>5951897</v>
      </c>
      <c r="C5" s="127">
        <v>3239492</v>
      </c>
      <c r="D5" s="34"/>
      <c r="E5" s="34"/>
      <c r="F5" s="34"/>
      <c r="G5" s="153"/>
      <c r="H5" s="153"/>
      <c r="I5" s="153"/>
    </row>
    <row r="6" spans="1:9" s="4" customFormat="1" ht="10.199999999999999" x14ac:dyDescent="0.25">
      <c r="A6" s="64" t="s">
        <v>403</v>
      </c>
      <c r="B6" s="225">
        <v>0</v>
      </c>
      <c r="C6" s="225">
        <v>0</v>
      </c>
      <c r="D6" s="34"/>
      <c r="E6" s="34"/>
      <c r="F6" s="34"/>
      <c r="G6" s="153"/>
      <c r="H6" s="153"/>
      <c r="I6" s="153"/>
    </row>
    <row r="7" spans="1:9" s="4" customFormat="1" ht="20.399999999999999" x14ac:dyDescent="0.25">
      <c r="A7" s="64" t="s">
        <v>404</v>
      </c>
      <c r="B7" s="84">
        <v>0</v>
      </c>
      <c r="C7" s="84">
        <v>0</v>
      </c>
      <c r="D7" s="34"/>
      <c r="E7" s="34"/>
      <c r="F7" s="34"/>
      <c r="G7" s="153"/>
      <c r="H7" s="153"/>
      <c r="I7" s="153"/>
    </row>
    <row r="8" spans="1:9" s="4" customFormat="1" ht="20.399999999999999" x14ac:dyDescent="0.25">
      <c r="A8" s="59" t="s">
        <v>380</v>
      </c>
      <c r="B8" s="127">
        <f>B5+B6+B7</f>
        <v>5951897</v>
      </c>
      <c r="C8" s="127">
        <f>C5+C6+C7</f>
        <v>3239492</v>
      </c>
      <c r="D8" s="34"/>
      <c r="E8" s="34"/>
      <c r="F8" s="34"/>
      <c r="G8" s="153"/>
      <c r="H8" s="153"/>
      <c r="I8" s="153"/>
    </row>
    <row r="9" spans="1:9" s="1" customFormat="1" ht="30" customHeight="1" x14ac:dyDescent="0.2">
      <c r="A9" s="44"/>
      <c r="B9" s="166"/>
      <c r="C9" s="166"/>
      <c r="D9" s="143"/>
      <c r="E9" s="143"/>
      <c r="F9" s="143"/>
      <c r="G9" s="93"/>
      <c r="H9" s="93"/>
      <c r="I9" s="93"/>
    </row>
    <row r="10" spans="1:9" s="1" customFormat="1" ht="10.199999999999999" x14ac:dyDescent="0.2">
      <c r="A10" s="101" t="s">
        <v>316</v>
      </c>
      <c r="B10" s="435">
        <f>'Dane podstawowe'!$B$9</f>
        <v>44196</v>
      </c>
      <c r="C10" s="435">
        <f>C4</f>
        <v>43830</v>
      </c>
      <c r="D10" s="44"/>
      <c r="E10" s="44"/>
      <c r="F10" s="44"/>
    </row>
    <row r="11" spans="1:9" s="1" customFormat="1" ht="10.199999999999999" x14ac:dyDescent="0.2">
      <c r="A11" s="56" t="s">
        <v>423</v>
      </c>
      <c r="B11" s="127">
        <f>B12+B13+B14</f>
        <v>4387695</v>
      </c>
      <c r="C11" s="127">
        <f>C12+C13+C14</f>
        <v>4175039</v>
      </c>
      <c r="D11" s="44"/>
      <c r="E11" s="44"/>
      <c r="F11" s="44"/>
    </row>
    <row r="12" spans="1:9" s="1" customFormat="1" ht="10.199999999999999" x14ac:dyDescent="0.2">
      <c r="A12" s="55" t="s">
        <v>49</v>
      </c>
      <c r="B12" s="225">
        <v>2999337</v>
      </c>
      <c r="C12" s="225">
        <v>3063949</v>
      </c>
      <c r="D12" s="44"/>
      <c r="E12" s="44"/>
      <c r="F12" s="44"/>
    </row>
    <row r="13" spans="1:9" s="1" customFormat="1" ht="10.199999999999999" x14ac:dyDescent="0.2">
      <c r="A13" s="55" t="s">
        <v>50</v>
      </c>
      <c r="B13" s="225">
        <v>402760</v>
      </c>
      <c r="C13" s="225">
        <v>354039</v>
      </c>
      <c r="D13" s="44"/>
      <c r="E13" s="44"/>
      <c r="F13" s="44"/>
    </row>
    <row r="14" spans="1:9" s="1" customFormat="1" ht="10.199999999999999" x14ac:dyDescent="0.2">
      <c r="A14" s="55" t="s">
        <v>51</v>
      </c>
      <c r="B14" s="225">
        <v>985598</v>
      </c>
      <c r="C14" s="225">
        <v>757051</v>
      </c>
      <c r="D14" s="44"/>
      <c r="E14" s="44"/>
      <c r="F14" s="44"/>
    </row>
    <row r="15" spans="1:9" s="1" customFormat="1" ht="10.199999999999999" x14ac:dyDescent="0.2">
      <c r="A15" s="55"/>
      <c r="B15" s="127"/>
      <c r="C15" s="127"/>
      <c r="D15" s="44"/>
      <c r="E15" s="44"/>
      <c r="F15" s="44"/>
    </row>
    <row r="16" spans="1:9" s="1" customFormat="1" ht="10.199999999999999" x14ac:dyDescent="0.2">
      <c r="A16" s="56" t="s">
        <v>381</v>
      </c>
      <c r="B16" s="127">
        <f>SUM(B18:B25)</f>
        <v>33668</v>
      </c>
      <c r="C16" s="127">
        <f>SUM(C17:C25)</f>
        <v>122423</v>
      </c>
      <c r="D16" s="44"/>
      <c r="E16" s="44"/>
      <c r="F16" s="44"/>
    </row>
    <row r="17" spans="1:6" s="1" customFormat="1" ht="10.199999999999999" hidden="1" x14ac:dyDescent="0.2">
      <c r="A17" s="55" t="s">
        <v>382</v>
      </c>
      <c r="B17" s="44">
        <v>0</v>
      </c>
      <c r="C17" s="225">
        <v>0</v>
      </c>
      <c r="D17" s="44"/>
      <c r="E17" s="44"/>
      <c r="F17" s="44"/>
    </row>
    <row r="18" spans="1:6" s="1" customFormat="1" ht="10.199999999999999" x14ac:dyDescent="0.2">
      <c r="A18" s="55" t="s">
        <v>383</v>
      </c>
      <c r="B18" s="225">
        <v>33507</v>
      </c>
      <c r="C18" s="225">
        <v>59022</v>
      </c>
      <c r="D18" s="44"/>
      <c r="E18" s="44"/>
      <c r="F18" s="44"/>
    </row>
    <row r="19" spans="1:6" s="1" customFormat="1" ht="10.199999999999999" hidden="1" x14ac:dyDescent="0.2">
      <c r="A19" s="55" t="s">
        <v>384</v>
      </c>
      <c r="B19" s="44">
        <v>0</v>
      </c>
      <c r="C19" s="225">
        <v>0</v>
      </c>
      <c r="D19" s="44"/>
      <c r="E19" s="44"/>
      <c r="F19" s="44"/>
    </row>
    <row r="20" spans="1:6" s="1" customFormat="1" ht="10.199999999999999" x14ac:dyDescent="0.2">
      <c r="A20" s="55" t="s">
        <v>637</v>
      </c>
      <c r="B20" s="225">
        <v>20966</v>
      </c>
      <c r="C20" s="225">
        <v>75121</v>
      </c>
      <c r="D20" s="44"/>
      <c r="E20" s="44"/>
      <c r="F20" s="44"/>
    </row>
    <row r="21" spans="1:6" s="1" customFormat="1" ht="10.199999999999999" hidden="1" x14ac:dyDescent="0.2">
      <c r="A21" s="55" t="s">
        <v>385</v>
      </c>
      <c r="B21" s="225">
        <v>0</v>
      </c>
      <c r="C21" s="225">
        <v>0</v>
      </c>
      <c r="D21" s="44"/>
      <c r="E21" s="44"/>
      <c r="F21" s="44"/>
    </row>
    <row r="22" spans="1:6" s="1" customFormat="1" ht="10.199999999999999" hidden="1" x14ac:dyDescent="0.2">
      <c r="A22" s="55" t="s">
        <v>638</v>
      </c>
      <c r="B22" s="225">
        <v>0</v>
      </c>
      <c r="C22" s="225">
        <v>0</v>
      </c>
      <c r="D22" s="44"/>
      <c r="E22" s="44"/>
      <c r="F22" s="44"/>
    </row>
    <row r="23" spans="1:6" s="1" customFormat="1" ht="10.199999999999999" x14ac:dyDescent="0.2">
      <c r="A23" s="55" t="s">
        <v>386</v>
      </c>
      <c r="B23" s="225">
        <v>-20805</v>
      </c>
      <c r="C23" s="225">
        <v>-11720</v>
      </c>
      <c r="D23" s="44"/>
      <c r="E23" s="44"/>
      <c r="F23" s="44"/>
    </row>
    <row r="24" spans="1:6" s="1" customFormat="1" ht="10.199999999999999" hidden="1" x14ac:dyDescent="0.2">
      <c r="A24" s="55" t="s">
        <v>387</v>
      </c>
      <c r="B24" s="225">
        <v>0</v>
      </c>
      <c r="C24" s="225">
        <v>0</v>
      </c>
      <c r="D24" s="44"/>
      <c r="E24" s="44"/>
      <c r="F24" s="44"/>
    </row>
    <row r="25" spans="1:6" s="1" customFormat="1" ht="10.199999999999999" hidden="1" x14ac:dyDescent="0.2">
      <c r="A25" s="55" t="s">
        <v>623</v>
      </c>
      <c r="B25" s="225">
        <v>0</v>
      </c>
      <c r="C25" s="225">
        <v>0</v>
      </c>
      <c r="D25" s="44"/>
      <c r="E25" s="44"/>
      <c r="F25" s="44"/>
    </row>
    <row r="26" spans="1:6" s="1" customFormat="1" ht="10.199999999999999" x14ac:dyDescent="0.2">
      <c r="A26" s="56" t="s">
        <v>388</v>
      </c>
      <c r="B26" s="127">
        <f>SUM(B27:B35)</f>
        <v>1310308</v>
      </c>
      <c r="C26" s="127">
        <f>SUM(C27:C35)</f>
        <v>764580</v>
      </c>
      <c r="D26" s="44"/>
      <c r="E26" s="44"/>
      <c r="F26" s="44"/>
    </row>
    <row r="27" spans="1:6" s="1" customFormat="1" ht="10.199999999999999" x14ac:dyDescent="0.2">
      <c r="A27" s="55" t="s">
        <v>947</v>
      </c>
      <c r="B27" s="225">
        <v>740267</v>
      </c>
      <c r="C27" s="225">
        <v>532630</v>
      </c>
      <c r="D27" s="44"/>
      <c r="E27" s="44"/>
      <c r="F27" s="44"/>
    </row>
    <row r="28" spans="1:6" s="1" customFormat="1" ht="10.199999999999999" x14ac:dyDescent="0.2">
      <c r="A28" s="55" t="s">
        <v>948</v>
      </c>
      <c r="B28" s="225">
        <v>21845</v>
      </c>
      <c r="C28" s="225">
        <v>0</v>
      </c>
      <c r="D28" s="44"/>
      <c r="E28" s="44"/>
      <c r="F28" s="44"/>
    </row>
    <row r="29" spans="1:6" s="1" customFormat="1" ht="10.199999999999999" x14ac:dyDescent="0.2">
      <c r="A29" s="55" t="s">
        <v>949</v>
      </c>
      <c r="B29" s="225">
        <v>762874</v>
      </c>
      <c r="C29" s="225">
        <v>0</v>
      </c>
      <c r="D29" s="44"/>
      <c r="E29" s="44"/>
      <c r="F29" s="44"/>
    </row>
    <row r="30" spans="1:6" s="1" customFormat="1" ht="10.199999999999999" x14ac:dyDescent="0.2">
      <c r="A30" s="55" t="s">
        <v>950</v>
      </c>
      <c r="B30" s="225">
        <v>-137271</v>
      </c>
      <c r="C30" s="225">
        <v>0</v>
      </c>
      <c r="D30" s="44"/>
      <c r="E30" s="44"/>
      <c r="F30" s="44"/>
    </row>
    <row r="31" spans="1:6" s="1" customFormat="1" ht="10.199999999999999" x14ac:dyDescent="0.2">
      <c r="A31" s="55" t="s">
        <v>951</v>
      </c>
      <c r="B31" s="225">
        <v>29613</v>
      </c>
      <c r="C31" s="225">
        <v>43477</v>
      </c>
      <c r="D31" s="44"/>
      <c r="E31" s="44"/>
      <c r="F31" s="44"/>
    </row>
    <row r="32" spans="1:6" s="1" customFormat="1" ht="10.199999999999999" x14ac:dyDescent="0.2">
      <c r="A32" s="55" t="s">
        <v>952</v>
      </c>
      <c r="B32" s="225">
        <v>-107020</v>
      </c>
      <c r="C32" s="225">
        <v>0</v>
      </c>
      <c r="D32" s="44"/>
      <c r="E32" s="44"/>
      <c r="F32" s="44"/>
    </row>
    <row r="33" spans="1:6" s="1" customFormat="1" ht="10.199999999999999" x14ac:dyDescent="0.2">
      <c r="A33" s="55" t="s">
        <v>956</v>
      </c>
      <c r="B33" s="225">
        <v>0</v>
      </c>
      <c r="C33" s="225">
        <v>-59979</v>
      </c>
      <c r="D33" s="44"/>
      <c r="E33" s="44"/>
      <c r="F33" s="44"/>
    </row>
    <row r="34" spans="1:6" s="1" customFormat="1" ht="10.199999999999999" x14ac:dyDescent="0.2">
      <c r="A34" s="55" t="s">
        <v>957</v>
      </c>
      <c r="B34" s="225">
        <v>0</v>
      </c>
      <c r="C34" s="225">
        <v>5000</v>
      </c>
      <c r="D34" s="44"/>
      <c r="E34" s="44"/>
      <c r="F34" s="44"/>
    </row>
    <row r="35" spans="1:6" s="1" customFormat="1" ht="10.199999999999999" x14ac:dyDescent="0.2">
      <c r="A35" s="55" t="s">
        <v>958</v>
      </c>
      <c r="B35" s="225">
        <v>0</v>
      </c>
      <c r="C35" s="225">
        <v>243452</v>
      </c>
      <c r="D35" s="44"/>
      <c r="E35" s="44"/>
      <c r="F35" s="44"/>
    </row>
    <row r="36" spans="1:6" s="1" customFormat="1" ht="10.199999999999999" x14ac:dyDescent="0.2">
      <c r="A36" s="56" t="s">
        <v>93</v>
      </c>
      <c r="B36" s="127">
        <f>SUM(B37:B42)</f>
        <v>384167</v>
      </c>
      <c r="C36" s="127">
        <f>SUM(C37:C42)</f>
        <v>-52305</v>
      </c>
      <c r="D36" s="44"/>
      <c r="E36" s="44"/>
      <c r="F36" s="44"/>
    </row>
    <row r="37" spans="1:6" s="1" customFormat="1" ht="10.199999999999999" x14ac:dyDescent="0.2">
      <c r="A37" s="55" t="s">
        <v>424</v>
      </c>
      <c r="B37" s="225">
        <v>-64642</v>
      </c>
      <c r="C37" s="225">
        <v>86355</v>
      </c>
      <c r="D37" s="44"/>
      <c r="E37" s="44"/>
      <c r="F37" s="44"/>
    </row>
    <row r="38" spans="1:6" s="1" customFormat="1" ht="10.199999999999999" x14ac:dyDescent="0.2">
      <c r="A38" s="55" t="s">
        <v>55</v>
      </c>
      <c r="B38" s="225">
        <v>448809</v>
      </c>
      <c r="C38" s="225">
        <v>79975</v>
      </c>
      <c r="D38" s="44"/>
      <c r="E38" s="44"/>
      <c r="F38" s="44"/>
    </row>
    <row r="39" spans="1:6" s="1" customFormat="1" ht="10.199999999999999" x14ac:dyDescent="0.2">
      <c r="A39" s="55" t="s">
        <v>646</v>
      </c>
      <c r="B39" s="225">
        <v>0</v>
      </c>
      <c r="C39" s="225">
        <f>-249988+31353</f>
        <v>-218635</v>
      </c>
      <c r="D39" s="44"/>
      <c r="E39" s="44"/>
      <c r="F39" s="44"/>
    </row>
    <row r="40" spans="1:6" s="1" customFormat="1" ht="20.399999999999999" hidden="1" x14ac:dyDescent="0.2">
      <c r="A40" s="55" t="s">
        <v>56</v>
      </c>
      <c r="B40" s="225">
        <v>0</v>
      </c>
      <c r="C40" s="225">
        <v>0</v>
      </c>
      <c r="D40" s="44"/>
      <c r="E40" s="44"/>
      <c r="F40" s="44"/>
    </row>
    <row r="41" spans="1:6" s="1" customFormat="1" ht="20.399999999999999" hidden="1" x14ac:dyDescent="0.2">
      <c r="A41" s="55" t="s">
        <v>57</v>
      </c>
      <c r="B41" s="225">
        <v>0</v>
      </c>
      <c r="C41" s="225">
        <v>0</v>
      </c>
      <c r="D41" s="44"/>
      <c r="E41" s="44"/>
      <c r="F41" s="44"/>
    </row>
    <row r="42" spans="1:6" s="1" customFormat="1" ht="10.199999999999999" x14ac:dyDescent="0.2">
      <c r="A42" s="56"/>
      <c r="B42" s="127"/>
      <c r="C42" s="127"/>
      <c r="D42" s="44"/>
      <c r="E42" s="44"/>
      <c r="F42" s="44"/>
    </row>
    <row r="43" spans="1:6" s="1" customFormat="1" ht="10.199999999999999" x14ac:dyDescent="0.2">
      <c r="A43" s="56" t="s">
        <v>94</v>
      </c>
      <c r="B43" s="127">
        <f>SUM(B44:B47)</f>
        <v>262</v>
      </c>
      <c r="C43" s="127">
        <f>SUM(C44:C47)</f>
        <v>74658</v>
      </c>
      <c r="D43" s="44"/>
      <c r="E43" s="44"/>
      <c r="F43" s="44"/>
    </row>
    <row r="44" spans="1:6" s="1" customFormat="1" ht="10.199999999999999" x14ac:dyDescent="0.2">
      <c r="A44" s="55" t="s">
        <v>52</v>
      </c>
      <c r="B44" s="225">
        <v>262</v>
      </c>
      <c r="C44" s="225">
        <v>74658</v>
      </c>
      <c r="D44" s="44"/>
      <c r="E44" s="44"/>
      <c r="F44" s="44"/>
    </row>
    <row r="45" spans="1:6" s="1" customFormat="1" ht="20.399999999999999" hidden="1" x14ac:dyDescent="0.2">
      <c r="A45" s="55" t="s">
        <v>53</v>
      </c>
      <c r="B45" s="225">
        <v>0</v>
      </c>
      <c r="C45" s="225">
        <v>0</v>
      </c>
      <c r="D45" s="44"/>
      <c r="E45" s="44"/>
      <c r="F45" s="44"/>
    </row>
    <row r="46" spans="1:6" s="1" customFormat="1" ht="20.399999999999999" hidden="1" x14ac:dyDescent="0.2">
      <c r="A46" s="55" t="s">
        <v>54</v>
      </c>
      <c r="B46" s="225">
        <v>0</v>
      </c>
      <c r="C46" s="225">
        <v>0</v>
      </c>
      <c r="D46" s="44"/>
      <c r="E46" s="44"/>
      <c r="F46" s="44"/>
    </row>
    <row r="47" spans="1:6" s="1" customFormat="1" ht="10.199999999999999" x14ac:dyDescent="0.2">
      <c r="A47" s="55"/>
      <c r="B47" s="127"/>
      <c r="C47" s="127"/>
      <c r="D47" s="44"/>
      <c r="E47" s="44"/>
      <c r="F47" s="44"/>
    </row>
    <row r="48" spans="1:6" s="1" customFormat="1" ht="10.199999999999999" x14ac:dyDescent="0.2">
      <c r="A48" s="56" t="s">
        <v>389</v>
      </c>
      <c r="B48" s="127">
        <f>SUM(B49:B57)</f>
        <v>942485</v>
      </c>
      <c r="C48" s="127">
        <f>SUM(C49:C57)</f>
        <v>520518</v>
      </c>
      <c r="D48" s="44"/>
      <c r="E48" s="44"/>
      <c r="F48" s="44"/>
    </row>
    <row r="49" spans="1:6" s="1" customFormat="1" ht="10.199999999999999" x14ac:dyDescent="0.2">
      <c r="A49" s="55" t="s">
        <v>390</v>
      </c>
      <c r="B49" s="225">
        <v>940722</v>
      </c>
      <c r="C49" s="225">
        <v>128607</v>
      </c>
      <c r="D49" s="44"/>
      <c r="E49" s="44"/>
      <c r="F49" s="44"/>
    </row>
    <row r="50" spans="1:6" s="1" customFormat="1" ht="10.199999999999999" x14ac:dyDescent="0.2">
      <c r="A50" s="55" t="s">
        <v>391</v>
      </c>
      <c r="B50" s="225">
        <v>1763</v>
      </c>
      <c r="C50" s="225">
        <v>77187</v>
      </c>
      <c r="D50" s="44"/>
      <c r="E50" s="44"/>
      <c r="F50" s="44"/>
    </row>
    <row r="51" spans="1:6" s="1" customFormat="1" ht="10.199999999999999" x14ac:dyDescent="0.2">
      <c r="A51" s="55" t="s">
        <v>754</v>
      </c>
      <c r="B51" s="225">
        <v>0</v>
      </c>
      <c r="C51" s="225">
        <f>149796+164928</f>
        <v>314724</v>
      </c>
      <c r="D51" s="44"/>
      <c r="E51" s="44"/>
      <c r="F51" s="44"/>
    </row>
    <row r="52" spans="1:6" s="1" customFormat="1" ht="10.199999999999999" hidden="1" x14ac:dyDescent="0.2">
      <c r="A52" s="55" t="s">
        <v>392</v>
      </c>
      <c r="B52" s="225">
        <v>0</v>
      </c>
      <c r="C52" s="225">
        <v>0</v>
      </c>
      <c r="D52" s="44"/>
      <c r="E52" s="44"/>
      <c r="F52" s="44"/>
    </row>
    <row r="53" spans="1:6" s="1" customFormat="1" ht="10.199999999999999" hidden="1" x14ac:dyDescent="0.2">
      <c r="A53" s="55" t="s">
        <v>393</v>
      </c>
      <c r="B53" s="225">
        <v>0</v>
      </c>
      <c r="C53" s="225">
        <v>0</v>
      </c>
      <c r="D53" s="44"/>
      <c r="E53" s="44"/>
      <c r="F53" s="44"/>
    </row>
    <row r="54" spans="1:6" s="1" customFormat="1" ht="10.199999999999999" hidden="1" x14ac:dyDescent="0.2">
      <c r="A54" s="55" t="s">
        <v>394</v>
      </c>
      <c r="B54" s="225">
        <v>0</v>
      </c>
      <c r="C54" s="225">
        <v>0</v>
      </c>
      <c r="D54" s="44"/>
      <c r="E54" s="44"/>
      <c r="F54" s="44"/>
    </row>
    <row r="55" spans="1:6" s="1" customFormat="1" ht="20.399999999999999" hidden="1" x14ac:dyDescent="0.2">
      <c r="A55" s="55" t="s">
        <v>58</v>
      </c>
      <c r="B55" s="225">
        <v>0</v>
      </c>
      <c r="C55" s="225">
        <v>0</v>
      </c>
      <c r="D55" s="44"/>
      <c r="E55" s="44"/>
      <c r="F55" s="44"/>
    </row>
    <row r="56" spans="1:6" ht="20.399999999999999" hidden="1" x14ac:dyDescent="0.25">
      <c r="A56" s="55" t="s">
        <v>59</v>
      </c>
      <c r="B56" s="225">
        <v>0</v>
      </c>
      <c r="C56" s="225">
        <v>0</v>
      </c>
    </row>
    <row r="57" spans="1:6" x14ac:dyDescent="0.25">
      <c r="A57" s="55"/>
      <c r="B57" s="225">
        <v>0</v>
      </c>
      <c r="C57" s="225">
        <v>0</v>
      </c>
    </row>
    <row r="58" spans="1:6" ht="20.399999999999999" x14ac:dyDescent="0.25">
      <c r="A58" s="56" t="s">
        <v>425</v>
      </c>
      <c r="B58" s="127">
        <f>SUM(B59:B68)</f>
        <v>-167945</v>
      </c>
      <c r="C58" s="127">
        <f>SUM(C59:C68)</f>
        <v>-818532</v>
      </c>
    </row>
    <row r="59" spans="1:6" x14ac:dyDescent="0.25">
      <c r="A59" s="55" t="s">
        <v>395</v>
      </c>
      <c r="B59" s="225">
        <v>-283246</v>
      </c>
      <c r="C59" s="225">
        <v>850287</v>
      </c>
    </row>
    <row r="60" spans="1:6" s="565" customFormat="1" x14ac:dyDescent="0.25">
      <c r="A60" s="55" t="s">
        <v>953</v>
      </c>
      <c r="B60" s="225">
        <v>2460</v>
      </c>
      <c r="C60" s="225">
        <v>-1366272</v>
      </c>
      <c r="D60" s="711"/>
      <c r="E60" s="711"/>
      <c r="F60" s="711"/>
    </row>
    <row r="61" spans="1:6" x14ac:dyDescent="0.25">
      <c r="A61" s="55" t="s">
        <v>954</v>
      </c>
      <c r="B61" s="225">
        <v>112841</v>
      </c>
      <c r="C61" s="225">
        <v>-532246</v>
      </c>
    </row>
    <row r="62" spans="1:6" x14ac:dyDescent="0.25">
      <c r="A62" s="55" t="s">
        <v>753</v>
      </c>
      <c r="B62" s="225">
        <v>0</v>
      </c>
      <c r="C62" s="225">
        <v>-671860</v>
      </c>
    </row>
    <row r="63" spans="1:6" x14ac:dyDescent="0.25">
      <c r="A63" s="55" t="s">
        <v>832</v>
      </c>
      <c r="B63" s="225">
        <v>0</v>
      </c>
      <c r="C63" s="225">
        <v>814400</v>
      </c>
    </row>
    <row r="64" spans="1:6" x14ac:dyDescent="0.25">
      <c r="A64" s="55" t="s">
        <v>396</v>
      </c>
      <c r="B64" s="225">
        <v>0</v>
      </c>
      <c r="C64" s="225">
        <v>87159</v>
      </c>
    </row>
    <row r="65" spans="1:3" hidden="1" x14ac:dyDescent="0.25">
      <c r="A65" s="55" t="s">
        <v>397</v>
      </c>
      <c r="B65" s="225">
        <v>0</v>
      </c>
      <c r="C65" s="225">
        <v>0</v>
      </c>
    </row>
    <row r="66" spans="1:3" ht="20.399999999999999" hidden="1" x14ac:dyDescent="0.25">
      <c r="A66" s="55" t="s">
        <v>367</v>
      </c>
      <c r="B66" s="225">
        <v>0</v>
      </c>
      <c r="C66" s="225">
        <v>0</v>
      </c>
    </row>
    <row r="67" spans="1:3" ht="20.399999999999999" hidden="1" x14ac:dyDescent="0.25">
      <c r="A67" s="55" t="s">
        <v>426</v>
      </c>
      <c r="B67" s="225">
        <v>0</v>
      </c>
      <c r="C67" s="225">
        <v>0</v>
      </c>
    </row>
    <row r="68" spans="1:3" x14ac:dyDescent="0.25">
      <c r="A68" s="55"/>
      <c r="B68" s="127"/>
      <c r="C68" s="127"/>
    </row>
    <row r="69" spans="1:3" x14ac:dyDescent="0.25">
      <c r="A69" s="56" t="s">
        <v>398</v>
      </c>
      <c r="B69" s="127">
        <f>SUM(B70:B75)</f>
        <v>97469</v>
      </c>
      <c r="C69" s="127">
        <f>SUM(C70:C75)</f>
        <v>-123597</v>
      </c>
    </row>
    <row r="70" spans="1:3" x14ac:dyDescent="0.25">
      <c r="A70" s="55" t="s">
        <v>955</v>
      </c>
      <c r="B70" s="225">
        <v>97469</v>
      </c>
      <c r="C70" s="225">
        <v>0</v>
      </c>
    </row>
    <row r="71" spans="1:3" hidden="1" x14ac:dyDescent="0.25">
      <c r="A71" s="55" t="s">
        <v>681</v>
      </c>
      <c r="B71" s="225">
        <v>0</v>
      </c>
      <c r="C71" s="225">
        <v>0</v>
      </c>
    </row>
    <row r="72" spans="1:3" hidden="1" x14ac:dyDescent="0.25">
      <c r="A72" s="55" t="s">
        <v>624</v>
      </c>
      <c r="B72" s="225">
        <v>0</v>
      </c>
      <c r="C72" s="225">
        <v>0</v>
      </c>
    </row>
    <row r="73" spans="1:3" hidden="1" x14ac:dyDescent="0.25">
      <c r="A73" s="55" t="s">
        <v>647</v>
      </c>
      <c r="B73" s="225">
        <v>0</v>
      </c>
      <c r="C73" s="225">
        <v>0</v>
      </c>
    </row>
    <row r="74" spans="1:3" x14ac:dyDescent="0.25">
      <c r="A74" s="55" t="s">
        <v>528</v>
      </c>
      <c r="B74" s="225">
        <v>0</v>
      </c>
      <c r="C74" s="225">
        <v>-123597</v>
      </c>
    </row>
    <row r="75" spans="1:3" x14ac:dyDescent="0.25">
      <c r="A75" s="55"/>
      <c r="B75" s="127"/>
      <c r="C75" s="127"/>
    </row>
  </sheetData>
  <phoneticPr fontId="33" type="noConversion"/>
  <pageMargins left="0.7" right="0.7" top="0.75" bottom="0.75" header="0.3" footer="0.3"/>
  <pageSetup paperSize="9" scale="7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3"/>
  <sheetViews>
    <sheetView topLeftCell="A58" workbookViewId="0">
      <selection activeCell="H8" sqref="H8"/>
    </sheetView>
  </sheetViews>
  <sheetFormatPr defaultRowHeight="13.2" x14ac:dyDescent="0.25"/>
  <cols>
    <col min="1" max="1" width="8.88671875" style="565"/>
    <col min="2" max="2" width="47.109375" style="565" customWidth="1"/>
    <col min="3" max="3" width="21.33203125" style="565" customWidth="1"/>
    <col min="4" max="4" width="18.33203125" style="565" customWidth="1"/>
    <col min="5" max="5" width="11.44140625" style="565" customWidth="1"/>
    <col min="6" max="6" width="12.33203125" style="565" customWidth="1"/>
    <col min="7" max="256" width="8.88671875" style="565"/>
    <col min="257" max="257" width="47.109375" style="565" customWidth="1"/>
    <col min="258" max="258" width="21.33203125" style="565" customWidth="1"/>
    <col min="259" max="259" width="18.33203125" style="565" customWidth="1"/>
    <col min="260" max="260" width="11.44140625" style="565" customWidth="1"/>
    <col min="261" max="261" width="10.6640625" style="565" customWidth="1"/>
    <col min="262" max="262" width="12.33203125" style="565" customWidth="1"/>
    <col min="263" max="512" width="8.88671875" style="565"/>
    <col min="513" max="513" width="47.109375" style="565" customWidth="1"/>
    <col min="514" max="514" width="21.33203125" style="565" customWidth="1"/>
    <col min="515" max="515" width="18.33203125" style="565" customWidth="1"/>
    <col min="516" max="516" width="11.44140625" style="565" customWidth="1"/>
    <col min="517" max="517" width="10.6640625" style="565" customWidth="1"/>
    <col min="518" max="518" width="12.33203125" style="565" customWidth="1"/>
    <col min="519" max="768" width="8.88671875" style="565"/>
    <col min="769" max="769" width="47.109375" style="565" customWidth="1"/>
    <col min="770" max="770" width="21.33203125" style="565" customWidth="1"/>
    <col min="771" max="771" width="18.33203125" style="565" customWidth="1"/>
    <col min="772" max="772" width="11.44140625" style="565" customWidth="1"/>
    <col min="773" max="773" width="10.6640625" style="565" customWidth="1"/>
    <col min="774" max="774" width="12.33203125" style="565" customWidth="1"/>
    <col min="775" max="1024" width="8.88671875" style="565"/>
    <col min="1025" max="1025" width="47.109375" style="565" customWidth="1"/>
    <col min="1026" max="1026" width="21.33203125" style="565" customWidth="1"/>
    <col min="1027" max="1027" width="18.33203125" style="565" customWidth="1"/>
    <col min="1028" max="1028" width="11.44140625" style="565" customWidth="1"/>
    <col min="1029" max="1029" width="10.6640625" style="565" customWidth="1"/>
    <col min="1030" max="1030" width="12.33203125" style="565" customWidth="1"/>
    <col min="1031" max="1280" width="8.88671875" style="565"/>
    <col min="1281" max="1281" width="47.109375" style="565" customWidth="1"/>
    <col min="1282" max="1282" width="21.33203125" style="565" customWidth="1"/>
    <col min="1283" max="1283" width="18.33203125" style="565" customWidth="1"/>
    <col min="1284" max="1284" width="11.44140625" style="565" customWidth="1"/>
    <col min="1285" max="1285" width="10.6640625" style="565" customWidth="1"/>
    <col min="1286" max="1286" width="12.33203125" style="565" customWidth="1"/>
    <col min="1287" max="1536" width="8.88671875" style="565"/>
    <col min="1537" max="1537" width="47.109375" style="565" customWidth="1"/>
    <col min="1538" max="1538" width="21.33203125" style="565" customWidth="1"/>
    <col min="1539" max="1539" width="18.33203125" style="565" customWidth="1"/>
    <col min="1540" max="1540" width="11.44140625" style="565" customWidth="1"/>
    <col min="1541" max="1541" width="10.6640625" style="565" customWidth="1"/>
    <col min="1542" max="1542" width="12.33203125" style="565" customWidth="1"/>
    <col min="1543" max="1792" width="8.88671875" style="565"/>
    <col min="1793" max="1793" width="47.109375" style="565" customWidth="1"/>
    <col min="1794" max="1794" width="21.33203125" style="565" customWidth="1"/>
    <col min="1795" max="1795" width="18.33203125" style="565" customWidth="1"/>
    <col min="1796" max="1796" width="11.44140625" style="565" customWidth="1"/>
    <col min="1797" max="1797" width="10.6640625" style="565" customWidth="1"/>
    <col min="1798" max="1798" width="12.33203125" style="565" customWidth="1"/>
    <col min="1799" max="2048" width="8.88671875" style="565"/>
    <col min="2049" max="2049" width="47.109375" style="565" customWidth="1"/>
    <col min="2050" max="2050" width="21.33203125" style="565" customWidth="1"/>
    <col min="2051" max="2051" width="18.33203125" style="565" customWidth="1"/>
    <col min="2052" max="2052" width="11.44140625" style="565" customWidth="1"/>
    <col min="2053" max="2053" width="10.6640625" style="565" customWidth="1"/>
    <col min="2054" max="2054" width="12.33203125" style="565" customWidth="1"/>
    <col min="2055" max="2304" width="8.88671875" style="565"/>
    <col min="2305" max="2305" width="47.109375" style="565" customWidth="1"/>
    <col min="2306" max="2306" width="21.33203125" style="565" customWidth="1"/>
    <col min="2307" max="2307" width="18.33203125" style="565" customWidth="1"/>
    <col min="2308" max="2308" width="11.44140625" style="565" customWidth="1"/>
    <col min="2309" max="2309" width="10.6640625" style="565" customWidth="1"/>
    <col min="2310" max="2310" width="12.33203125" style="565" customWidth="1"/>
    <col min="2311" max="2560" width="8.88671875" style="565"/>
    <col min="2561" max="2561" width="47.109375" style="565" customWidth="1"/>
    <col min="2562" max="2562" width="21.33203125" style="565" customWidth="1"/>
    <col min="2563" max="2563" width="18.33203125" style="565" customWidth="1"/>
    <col min="2564" max="2564" width="11.44140625" style="565" customWidth="1"/>
    <col min="2565" max="2565" width="10.6640625" style="565" customWidth="1"/>
    <col min="2566" max="2566" width="12.33203125" style="565" customWidth="1"/>
    <col min="2567" max="2816" width="8.88671875" style="565"/>
    <col min="2817" max="2817" width="47.109375" style="565" customWidth="1"/>
    <col min="2818" max="2818" width="21.33203125" style="565" customWidth="1"/>
    <col min="2819" max="2819" width="18.33203125" style="565" customWidth="1"/>
    <col min="2820" max="2820" width="11.44140625" style="565" customWidth="1"/>
    <col min="2821" max="2821" width="10.6640625" style="565" customWidth="1"/>
    <col min="2822" max="2822" width="12.33203125" style="565" customWidth="1"/>
    <col min="2823" max="3072" width="8.88671875" style="565"/>
    <col min="3073" max="3073" width="47.109375" style="565" customWidth="1"/>
    <col min="3074" max="3074" width="21.33203125" style="565" customWidth="1"/>
    <col min="3075" max="3075" width="18.33203125" style="565" customWidth="1"/>
    <col min="3076" max="3076" width="11.44140625" style="565" customWidth="1"/>
    <col min="3077" max="3077" width="10.6640625" style="565" customWidth="1"/>
    <col min="3078" max="3078" width="12.33203125" style="565" customWidth="1"/>
    <col min="3079" max="3328" width="8.88671875" style="565"/>
    <col min="3329" max="3329" width="47.109375" style="565" customWidth="1"/>
    <col min="3330" max="3330" width="21.33203125" style="565" customWidth="1"/>
    <col min="3331" max="3331" width="18.33203125" style="565" customWidth="1"/>
    <col min="3332" max="3332" width="11.44140625" style="565" customWidth="1"/>
    <col min="3333" max="3333" width="10.6640625" style="565" customWidth="1"/>
    <col min="3334" max="3334" width="12.33203125" style="565" customWidth="1"/>
    <col min="3335" max="3584" width="8.88671875" style="565"/>
    <col min="3585" max="3585" width="47.109375" style="565" customWidth="1"/>
    <col min="3586" max="3586" width="21.33203125" style="565" customWidth="1"/>
    <col min="3587" max="3587" width="18.33203125" style="565" customWidth="1"/>
    <col min="3588" max="3588" width="11.44140625" style="565" customWidth="1"/>
    <col min="3589" max="3589" width="10.6640625" style="565" customWidth="1"/>
    <col min="3590" max="3590" width="12.33203125" style="565" customWidth="1"/>
    <col min="3591" max="3840" width="8.88671875" style="565"/>
    <col min="3841" max="3841" width="47.109375" style="565" customWidth="1"/>
    <col min="3842" max="3842" width="21.33203125" style="565" customWidth="1"/>
    <col min="3843" max="3843" width="18.33203125" style="565" customWidth="1"/>
    <col min="3844" max="3844" width="11.44140625" style="565" customWidth="1"/>
    <col min="3845" max="3845" width="10.6640625" style="565" customWidth="1"/>
    <col min="3846" max="3846" width="12.33203125" style="565" customWidth="1"/>
    <col min="3847" max="4096" width="8.88671875" style="565"/>
    <col min="4097" max="4097" width="47.109375" style="565" customWidth="1"/>
    <col min="4098" max="4098" width="21.33203125" style="565" customWidth="1"/>
    <col min="4099" max="4099" width="18.33203125" style="565" customWidth="1"/>
    <col min="4100" max="4100" width="11.44140625" style="565" customWidth="1"/>
    <col min="4101" max="4101" width="10.6640625" style="565" customWidth="1"/>
    <col min="4102" max="4102" width="12.33203125" style="565" customWidth="1"/>
    <col min="4103" max="4352" width="8.88671875" style="565"/>
    <col min="4353" max="4353" width="47.109375" style="565" customWidth="1"/>
    <col min="4354" max="4354" width="21.33203125" style="565" customWidth="1"/>
    <col min="4355" max="4355" width="18.33203125" style="565" customWidth="1"/>
    <col min="4356" max="4356" width="11.44140625" style="565" customWidth="1"/>
    <col min="4357" max="4357" width="10.6640625" style="565" customWidth="1"/>
    <col min="4358" max="4358" width="12.33203125" style="565" customWidth="1"/>
    <col min="4359" max="4608" width="8.88671875" style="565"/>
    <col min="4609" max="4609" width="47.109375" style="565" customWidth="1"/>
    <col min="4610" max="4610" width="21.33203125" style="565" customWidth="1"/>
    <col min="4611" max="4611" width="18.33203125" style="565" customWidth="1"/>
    <col min="4612" max="4612" width="11.44140625" style="565" customWidth="1"/>
    <col min="4613" max="4613" width="10.6640625" style="565" customWidth="1"/>
    <col min="4614" max="4614" width="12.33203125" style="565" customWidth="1"/>
    <col min="4615" max="4864" width="8.88671875" style="565"/>
    <col min="4865" max="4865" width="47.109375" style="565" customWidth="1"/>
    <col min="4866" max="4866" width="21.33203125" style="565" customWidth="1"/>
    <col min="4867" max="4867" width="18.33203125" style="565" customWidth="1"/>
    <col min="4868" max="4868" width="11.44140625" style="565" customWidth="1"/>
    <col min="4869" max="4869" width="10.6640625" style="565" customWidth="1"/>
    <col min="4870" max="4870" width="12.33203125" style="565" customWidth="1"/>
    <col min="4871" max="5120" width="8.88671875" style="565"/>
    <col min="5121" max="5121" width="47.109375" style="565" customWidth="1"/>
    <col min="5122" max="5122" width="21.33203125" style="565" customWidth="1"/>
    <col min="5123" max="5123" width="18.33203125" style="565" customWidth="1"/>
    <col min="5124" max="5124" width="11.44140625" style="565" customWidth="1"/>
    <col min="5125" max="5125" width="10.6640625" style="565" customWidth="1"/>
    <col min="5126" max="5126" width="12.33203125" style="565" customWidth="1"/>
    <col min="5127" max="5376" width="8.88671875" style="565"/>
    <col min="5377" max="5377" width="47.109375" style="565" customWidth="1"/>
    <col min="5378" max="5378" width="21.33203125" style="565" customWidth="1"/>
    <col min="5379" max="5379" width="18.33203125" style="565" customWidth="1"/>
    <col min="5380" max="5380" width="11.44140625" style="565" customWidth="1"/>
    <col min="5381" max="5381" width="10.6640625" style="565" customWidth="1"/>
    <col min="5382" max="5382" width="12.33203125" style="565" customWidth="1"/>
    <col min="5383" max="5632" width="8.88671875" style="565"/>
    <col min="5633" max="5633" width="47.109375" style="565" customWidth="1"/>
    <col min="5634" max="5634" width="21.33203125" style="565" customWidth="1"/>
    <col min="5635" max="5635" width="18.33203125" style="565" customWidth="1"/>
    <col min="5636" max="5636" width="11.44140625" style="565" customWidth="1"/>
    <col min="5637" max="5637" width="10.6640625" style="565" customWidth="1"/>
    <col min="5638" max="5638" width="12.33203125" style="565" customWidth="1"/>
    <col min="5639" max="5888" width="8.88671875" style="565"/>
    <col min="5889" max="5889" width="47.109375" style="565" customWidth="1"/>
    <col min="5890" max="5890" width="21.33203125" style="565" customWidth="1"/>
    <col min="5891" max="5891" width="18.33203125" style="565" customWidth="1"/>
    <col min="5892" max="5892" width="11.44140625" style="565" customWidth="1"/>
    <col min="5893" max="5893" width="10.6640625" style="565" customWidth="1"/>
    <col min="5894" max="5894" width="12.33203125" style="565" customWidth="1"/>
    <col min="5895" max="6144" width="8.88671875" style="565"/>
    <col min="6145" max="6145" width="47.109375" style="565" customWidth="1"/>
    <col min="6146" max="6146" width="21.33203125" style="565" customWidth="1"/>
    <col min="6147" max="6147" width="18.33203125" style="565" customWidth="1"/>
    <col min="6148" max="6148" width="11.44140625" style="565" customWidth="1"/>
    <col min="6149" max="6149" width="10.6640625" style="565" customWidth="1"/>
    <col min="6150" max="6150" width="12.33203125" style="565" customWidth="1"/>
    <col min="6151" max="6400" width="8.88671875" style="565"/>
    <col min="6401" max="6401" width="47.109375" style="565" customWidth="1"/>
    <col min="6402" max="6402" width="21.33203125" style="565" customWidth="1"/>
    <col min="6403" max="6403" width="18.33203125" style="565" customWidth="1"/>
    <col min="6404" max="6404" width="11.44140625" style="565" customWidth="1"/>
    <col min="6405" max="6405" width="10.6640625" style="565" customWidth="1"/>
    <col min="6406" max="6406" width="12.33203125" style="565" customWidth="1"/>
    <col min="6407" max="6656" width="8.88671875" style="565"/>
    <col min="6657" max="6657" width="47.109375" style="565" customWidth="1"/>
    <col min="6658" max="6658" width="21.33203125" style="565" customWidth="1"/>
    <col min="6659" max="6659" width="18.33203125" style="565" customWidth="1"/>
    <col min="6660" max="6660" width="11.44140625" style="565" customWidth="1"/>
    <col min="6661" max="6661" width="10.6640625" style="565" customWidth="1"/>
    <col min="6662" max="6662" width="12.33203125" style="565" customWidth="1"/>
    <col min="6663" max="6912" width="8.88671875" style="565"/>
    <col min="6913" max="6913" width="47.109375" style="565" customWidth="1"/>
    <col min="6914" max="6914" width="21.33203125" style="565" customWidth="1"/>
    <col min="6915" max="6915" width="18.33203125" style="565" customWidth="1"/>
    <col min="6916" max="6916" width="11.44140625" style="565" customWidth="1"/>
    <col min="6917" max="6917" width="10.6640625" style="565" customWidth="1"/>
    <col min="6918" max="6918" width="12.33203125" style="565" customWidth="1"/>
    <col min="6919" max="7168" width="8.88671875" style="565"/>
    <col min="7169" max="7169" width="47.109375" style="565" customWidth="1"/>
    <col min="7170" max="7170" width="21.33203125" style="565" customWidth="1"/>
    <col min="7171" max="7171" width="18.33203125" style="565" customWidth="1"/>
    <col min="7172" max="7172" width="11.44140625" style="565" customWidth="1"/>
    <col min="7173" max="7173" width="10.6640625" style="565" customWidth="1"/>
    <col min="7174" max="7174" width="12.33203125" style="565" customWidth="1"/>
    <col min="7175" max="7424" width="8.88671875" style="565"/>
    <col min="7425" max="7425" width="47.109375" style="565" customWidth="1"/>
    <col min="7426" max="7426" width="21.33203125" style="565" customWidth="1"/>
    <col min="7427" max="7427" width="18.33203125" style="565" customWidth="1"/>
    <col min="7428" max="7428" width="11.44140625" style="565" customWidth="1"/>
    <col min="7429" max="7429" width="10.6640625" style="565" customWidth="1"/>
    <col min="7430" max="7430" width="12.33203125" style="565" customWidth="1"/>
    <col min="7431" max="7680" width="8.88671875" style="565"/>
    <col min="7681" max="7681" width="47.109375" style="565" customWidth="1"/>
    <col min="7682" max="7682" width="21.33203125" style="565" customWidth="1"/>
    <col min="7683" max="7683" width="18.33203125" style="565" customWidth="1"/>
    <col min="7684" max="7684" width="11.44140625" style="565" customWidth="1"/>
    <col min="7685" max="7685" width="10.6640625" style="565" customWidth="1"/>
    <col min="7686" max="7686" width="12.33203125" style="565" customWidth="1"/>
    <col min="7687" max="7936" width="8.88671875" style="565"/>
    <col min="7937" max="7937" width="47.109375" style="565" customWidth="1"/>
    <col min="7938" max="7938" width="21.33203125" style="565" customWidth="1"/>
    <col min="7939" max="7939" width="18.33203125" style="565" customWidth="1"/>
    <col min="7940" max="7940" width="11.44140625" style="565" customWidth="1"/>
    <col min="7941" max="7941" width="10.6640625" style="565" customWidth="1"/>
    <col min="7942" max="7942" width="12.33203125" style="565" customWidth="1"/>
    <col min="7943" max="8192" width="8.88671875" style="565"/>
    <col min="8193" max="8193" width="47.109375" style="565" customWidth="1"/>
    <col min="8194" max="8194" width="21.33203125" style="565" customWidth="1"/>
    <col min="8195" max="8195" width="18.33203125" style="565" customWidth="1"/>
    <col min="8196" max="8196" width="11.44140625" style="565" customWidth="1"/>
    <col min="8197" max="8197" width="10.6640625" style="565" customWidth="1"/>
    <col min="8198" max="8198" width="12.33203125" style="565" customWidth="1"/>
    <col min="8199" max="8448" width="8.88671875" style="565"/>
    <col min="8449" max="8449" width="47.109375" style="565" customWidth="1"/>
    <col min="8450" max="8450" width="21.33203125" style="565" customWidth="1"/>
    <col min="8451" max="8451" width="18.33203125" style="565" customWidth="1"/>
    <col min="8452" max="8452" width="11.44140625" style="565" customWidth="1"/>
    <col min="8453" max="8453" width="10.6640625" style="565" customWidth="1"/>
    <col min="8454" max="8454" width="12.33203125" style="565" customWidth="1"/>
    <col min="8455" max="8704" width="8.88671875" style="565"/>
    <col min="8705" max="8705" width="47.109375" style="565" customWidth="1"/>
    <col min="8706" max="8706" width="21.33203125" style="565" customWidth="1"/>
    <col min="8707" max="8707" width="18.33203125" style="565" customWidth="1"/>
    <col min="8708" max="8708" width="11.44140625" style="565" customWidth="1"/>
    <col min="8709" max="8709" width="10.6640625" style="565" customWidth="1"/>
    <col min="8710" max="8710" width="12.33203125" style="565" customWidth="1"/>
    <col min="8711" max="8960" width="8.88671875" style="565"/>
    <col min="8961" max="8961" width="47.109375" style="565" customWidth="1"/>
    <col min="8962" max="8962" width="21.33203125" style="565" customWidth="1"/>
    <col min="8963" max="8963" width="18.33203125" style="565" customWidth="1"/>
    <col min="8964" max="8964" width="11.44140625" style="565" customWidth="1"/>
    <col min="8965" max="8965" width="10.6640625" style="565" customWidth="1"/>
    <col min="8966" max="8966" width="12.33203125" style="565" customWidth="1"/>
    <col min="8967" max="9216" width="8.88671875" style="565"/>
    <col min="9217" max="9217" width="47.109375" style="565" customWidth="1"/>
    <col min="9218" max="9218" width="21.33203125" style="565" customWidth="1"/>
    <col min="9219" max="9219" width="18.33203125" style="565" customWidth="1"/>
    <col min="9220" max="9220" width="11.44140625" style="565" customWidth="1"/>
    <col min="9221" max="9221" width="10.6640625" style="565" customWidth="1"/>
    <col min="9222" max="9222" width="12.33203125" style="565" customWidth="1"/>
    <col min="9223" max="9472" width="8.88671875" style="565"/>
    <col min="9473" max="9473" width="47.109375" style="565" customWidth="1"/>
    <col min="9474" max="9474" width="21.33203125" style="565" customWidth="1"/>
    <col min="9475" max="9475" width="18.33203125" style="565" customWidth="1"/>
    <col min="9476" max="9476" width="11.44140625" style="565" customWidth="1"/>
    <col min="9477" max="9477" width="10.6640625" style="565" customWidth="1"/>
    <col min="9478" max="9478" width="12.33203125" style="565" customWidth="1"/>
    <col min="9479" max="9728" width="8.88671875" style="565"/>
    <col min="9729" max="9729" width="47.109375" style="565" customWidth="1"/>
    <col min="9730" max="9730" width="21.33203125" style="565" customWidth="1"/>
    <col min="9731" max="9731" width="18.33203125" style="565" customWidth="1"/>
    <col min="9732" max="9732" width="11.44140625" style="565" customWidth="1"/>
    <col min="9733" max="9733" width="10.6640625" style="565" customWidth="1"/>
    <col min="9734" max="9734" width="12.33203125" style="565" customWidth="1"/>
    <col min="9735" max="9984" width="8.88671875" style="565"/>
    <col min="9985" max="9985" width="47.109375" style="565" customWidth="1"/>
    <col min="9986" max="9986" width="21.33203125" style="565" customWidth="1"/>
    <col min="9987" max="9987" width="18.33203125" style="565" customWidth="1"/>
    <col min="9988" max="9988" width="11.44140625" style="565" customWidth="1"/>
    <col min="9989" max="9989" width="10.6640625" style="565" customWidth="1"/>
    <col min="9990" max="9990" width="12.33203125" style="565" customWidth="1"/>
    <col min="9991" max="10240" width="8.88671875" style="565"/>
    <col min="10241" max="10241" width="47.109375" style="565" customWidth="1"/>
    <col min="10242" max="10242" width="21.33203125" style="565" customWidth="1"/>
    <col min="10243" max="10243" width="18.33203125" style="565" customWidth="1"/>
    <col min="10244" max="10244" width="11.44140625" style="565" customWidth="1"/>
    <col min="10245" max="10245" width="10.6640625" style="565" customWidth="1"/>
    <col min="10246" max="10246" width="12.33203125" style="565" customWidth="1"/>
    <col min="10247" max="10496" width="8.88671875" style="565"/>
    <col min="10497" max="10497" width="47.109375" style="565" customWidth="1"/>
    <col min="10498" max="10498" width="21.33203125" style="565" customWidth="1"/>
    <col min="10499" max="10499" width="18.33203125" style="565" customWidth="1"/>
    <col min="10500" max="10500" width="11.44140625" style="565" customWidth="1"/>
    <col min="10501" max="10501" width="10.6640625" style="565" customWidth="1"/>
    <col min="10502" max="10502" width="12.33203125" style="565" customWidth="1"/>
    <col min="10503" max="10752" width="8.88671875" style="565"/>
    <col min="10753" max="10753" width="47.109375" style="565" customWidth="1"/>
    <col min="10754" max="10754" width="21.33203125" style="565" customWidth="1"/>
    <col min="10755" max="10755" width="18.33203125" style="565" customWidth="1"/>
    <col min="10756" max="10756" width="11.44140625" style="565" customWidth="1"/>
    <col min="10757" max="10757" width="10.6640625" style="565" customWidth="1"/>
    <col min="10758" max="10758" width="12.33203125" style="565" customWidth="1"/>
    <col min="10759" max="11008" width="8.88671875" style="565"/>
    <col min="11009" max="11009" width="47.109375" style="565" customWidth="1"/>
    <col min="11010" max="11010" width="21.33203125" style="565" customWidth="1"/>
    <col min="11011" max="11011" width="18.33203125" style="565" customWidth="1"/>
    <col min="11012" max="11012" width="11.44140625" style="565" customWidth="1"/>
    <col min="11013" max="11013" width="10.6640625" style="565" customWidth="1"/>
    <col min="11014" max="11014" width="12.33203125" style="565" customWidth="1"/>
    <col min="11015" max="11264" width="8.88671875" style="565"/>
    <col min="11265" max="11265" width="47.109375" style="565" customWidth="1"/>
    <col min="11266" max="11266" width="21.33203125" style="565" customWidth="1"/>
    <col min="11267" max="11267" width="18.33203125" style="565" customWidth="1"/>
    <col min="11268" max="11268" width="11.44140625" style="565" customWidth="1"/>
    <col min="11269" max="11269" width="10.6640625" style="565" customWidth="1"/>
    <col min="11270" max="11270" width="12.33203125" style="565" customWidth="1"/>
    <col min="11271" max="11520" width="8.88671875" style="565"/>
    <col min="11521" max="11521" width="47.109375" style="565" customWidth="1"/>
    <col min="11522" max="11522" width="21.33203125" style="565" customWidth="1"/>
    <col min="11523" max="11523" width="18.33203125" style="565" customWidth="1"/>
    <col min="11524" max="11524" width="11.44140625" style="565" customWidth="1"/>
    <col min="11525" max="11525" width="10.6640625" style="565" customWidth="1"/>
    <col min="11526" max="11526" width="12.33203125" style="565" customWidth="1"/>
    <col min="11527" max="11776" width="8.88671875" style="565"/>
    <col min="11777" max="11777" width="47.109375" style="565" customWidth="1"/>
    <col min="11778" max="11778" width="21.33203125" style="565" customWidth="1"/>
    <col min="11779" max="11779" width="18.33203125" style="565" customWidth="1"/>
    <col min="11780" max="11780" width="11.44140625" style="565" customWidth="1"/>
    <col min="11781" max="11781" width="10.6640625" style="565" customWidth="1"/>
    <col min="11782" max="11782" width="12.33203125" style="565" customWidth="1"/>
    <col min="11783" max="12032" width="8.88671875" style="565"/>
    <col min="12033" max="12033" width="47.109375" style="565" customWidth="1"/>
    <col min="12034" max="12034" width="21.33203125" style="565" customWidth="1"/>
    <col min="12035" max="12035" width="18.33203125" style="565" customWidth="1"/>
    <col min="12036" max="12036" width="11.44140625" style="565" customWidth="1"/>
    <col min="12037" max="12037" width="10.6640625" style="565" customWidth="1"/>
    <col min="12038" max="12038" width="12.33203125" style="565" customWidth="1"/>
    <col min="12039" max="12288" width="8.88671875" style="565"/>
    <col min="12289" max="12289" width="47.109375" style="565" customWidth="1"/>
    <col min="12290" max="12290" width="21.33203125" style="565" customWidth="1"/>
    <col min="12291" max="12291" width="18.33203125" style="565" customWidth="1"/>
    <col min="12292" max="12292" width="11.44140625" style="565" customWidth="1"/>
    <col min="12293" max="12293" width="10.6640625" style="565" customWidth="1"/>
    <col min="12294" max="12294" width="12.33203125" style="565" customWidth="1"/>
    <col min="12295" max="12544" width="8.88671875" style="565"/>
    <col min="12545" max="12545" width="47.109375" style="565" customWidth="1"/>
    <col min="12546" max="12546" width="21.33203125" style="565" customWidth="1"/>
    <col min="12547" max="12547" width="18.33203125" style="565" customWidth="1"/>
    <col min="12548" max="12548" width="11.44140625" style="565" customWidth="1"/>
    <col min="12549" max="12549" width="10.6640625" style="565" customWidth="1"/>
    <col min="12550" max="12550" width="12.33203125" style="565" customWidth="1"/>
    <col min="12551" max="12800" width="8.88671875" style="565"/>
    <col min="12801" max="12801" width="47.109375" style="565" customWidth="1"/>
    <col min="12802" max="12802" width="21.33203125" style="565" customWidth="1"/>
    <col min="12803" max="12803" width="18.33203125" style="565" customWidth="1"/>
    <col min="12804" max="12804" width="11.44140625" style="565" customWidth="1"/>
    <col min="12805" max="12805" width="10.6640625" style="565" customWidth="1"/>
    <col min="12806" max="12806" width="12.33203125" style="565" customWidth="1"/>
    <col min="12807" max="13056" width="8.88671875" style="565"/>
    <col min="13057" max="13057" width="47.109375" style="565" customWidth="1"/>
    <col min="13058" max="13058" width="21.33203125" style="565" customWidth="1"/>
    <col min="13059" max="13059" width="18.33203125" style="565" customWidth="1"/>
    <col min="13060" max="13060" width="11.44140625" style="565" customWidth="1"/>
    <col min="13061" max="13061" width="10.6640625" style="565" customWidth="1"/>
    <col min="13062" max="13062" width="12.33203125" style="565" customWidth="1"/>
    <col min="13063" max="13312" width="8.88671875" style="565"/>
    <col min="13313" max="13313" width="47.109375" style="565" customWidth="1"/>
    <col min="13314" max="13314" width="21.33203125" style="565" customWidth="1"/>
    <col min="13315" max="13315" width="18.33203125" style="565" customWidth="1"/>
    <col min="13316" max="13316" width="11.44140625" style="565" customWidth="1"/>
    <col min="13317" max="13317" width="10.6640625" style="565" customWidth="1"/>
    <col min="13318" max="13318" width="12.33203125" style="565" customWidth="1"/>
    <col min="13319" max="13568" width="8.88671875" style="565"/>
    <col min="13569" max="13569" width="47.109375" style="565" customWidth="1"/>
    <col min="13570" max="13570" width="21.33203125" style="565" customWidth="1"/>
    <col min="13571" max="13571" width="18.33203125" style="565" customWidth="1"/>
    <col min="13572" max="13572" width="11.44140625" style="565" customWidth="1"/>
    <col min="13573" max="13573" width="10.6640625" style="565" customWidth="1"/>
    <col min="13574" max="13574" width="12.33203125" style="565" customWidth="1"/>
    <col min="13575" max="13824" width="8.88671875" style="565"/>
    <col min="13825" max="13825" width="47.109375" style="565" customWidth="1"/>
    <col min="13826" max="13826" width="21.33203125" style="565" customWidth="1"/>
    <col min="13827" max="13827" width="18.33203125" style="565" customWidth="1"/>
    <col min="13828" max="13828" width="11.44140625" style="565" customWidth="1"/>
    <col min="13829" max="13829" width="10.6640625" style="565" customWidth="1"/>
    <col min="13830" max="13830" width="12.33203125" style="565" customWidth="1"/>
    <col min="13831" max="14080" width="8.88671875" style="565"/>
    <col min="14081" max="14081" width="47.109375" style="565" customWidth="1"/>
    <col min="14082" max="14082" width="21.33203125" style="565" customWidth="1"/>
    <col min="14083" max="14083" width="18.33203125" style="565" customWidth="1"/>
    <col min="14084" max="14084" width="11.44140625" style="565" customWidth="1"/>
    <col min="14085" max="14085" width="10.6640625" style="565" customWidth="1"/>
    <col min="14086" max="14086" width="12.33203125" style="565" customWidth="1"/>
    <col min="14087" max="14336" width="8.88671875" style="565"/>
    <col min="14337" max="14337" width="47.109375" style="565" customWidth="1"/>
    <col min="14338" max="14338" width="21.33203125" style="565" customWidth="1"/>
    <col min="14339" max="14339" width="18.33203125" style="565" customWidth="1"/>
    <col min="14340" max="14340" width="11.44140625" style="565" customWidth="1"/>
    <col min="14341" max="14341" width="10.6640625" style="565" customWidth="1"/>
    <col min="14342" max="14342" width="12.33203125" style="565" customWidth="1"/>
    <col min="14343" max="14592" width="8.88671875" style="565"/>
    <col min="14593" max="14593" width="47.109375" style="565" customWidth="1"/>
    <col min="14594" max="14594" width="21.33203125" style="565" customWidth="1"/>
    <col min="14595" max="14595" width="18.33203125" style="565" customWidth="1"/>
    <col min="14596" max="14596" width="11.44140625" style="565" customWidth="1"/>
    <col min="14597" max="14597" width="10.6640625" style="565" customWidth="1"/>
    <col min="14598" max="14598" width="12.33203125" style="565" customWidth="1"/>
    <col min="14599" max="14848" width="8.88671875" style="565"/>
    <col min="14849" max="14849" width="47.109375" style="565" customWidth="1"/>
    <col min="14850" max="14850" width="21.33203125" style="565" customWidth="1"/>
    <col min="14851" max="14851" width="18.33203125" style="565" customWidth="1"/>
    <col min="14852" max="14852" width="11.44140625" style="565" customWidth="1"/>
    <col min="14853" max="14853" width="10.6640625" style="565" customWidth="1"/>
    <col min="14854" max="14854" width="12.33203125" style="565" customWidth="1"/>
    <col min="14855" max="15104" width="8.88671875" style="565"/>
    <col min="15105" max="15105" width="47.109375" style="565" customWidth="1"/>
    <col min="15106" max="15106" width="21.33203125" style="565" customWidth="1"/>
    <col min="15107" max="15107" width="18.33203125" style="565" customWidth="1"/>
    <col min="15108" max="15108" width="11.44140625" style="565" customWidth="1"/>
    <col min="15109" max="15109" width="10.6640625" style="565" customWidth="1"/>
    <col min="15110" max="15110" width="12.33203125" style="565" customWidth="1"/>
    <col min="15111" max="15360" width="8.88671875" style="565"/>
    <col min="15361" max="15361" width="47.109375" style="565" customWidth="1"/>
    <col min="15362" max="15362" width="21.33203125" style="565" customWidth="1"/>
    <col min="15363" max="15363" width="18.33203125" style="565" customWidth="1"/>
    <col min="15364" max="15364" width="11.44140625" style="565" customWidth="1"/>
    <col min="15365" max="15365" width="10.6640625" style="565" customWidth="1"/>
    <col min="15366" max="15366" width="12.33203125" style="565" customWidth="1"/>
    <col min="15367" max="15616" width="8.88671875" style="565"/>
    <col min="15617" max="15617" width="47.109375" style="565" customWidth="1"/>
    <col min="15618" max="15618" width="21.33203125" style="565" customWidth="1"/>
    <col min="15619" max="15619" width="18.33203125" style="565" customWidth="1"/>
    <col min="15620" max="15620" width="11.44140625" style="565" customWidth="1"/>
    <col min="15621" max="15621" width="10.6640625" style="565" customWidth="1"/>
    <col min="15622" max="15622" width="12.33203125" style="565" customWidth="1"/>
    <col min="15623" max="15872" width="8.88671875" style="565"/>
    <col min="15873" max="15873" width="47.109375" style="565" customWidth="1"/>
    <col min="15874" max="15874" width="21.33203125" style="565" customWidth="1"/>
    <col min="15875" max="15875" width="18.33203125" style="565" customWidth="1"/>
    <col min="15876" max="15876" width="11.44140625" style="565" customWidth="1"/>
    <col min="15877" max="15877" width="10.6640625" style="565" customWidth="1"/>
    <col min="15878" max="15878" width="12.33203125" style="565" customWidth="1"/>
    <col min="15879" max="16128" width="8.88671875" style="565"/>
    <col min="16129" max="16129" width="47.109375" style="565" customWidth="1"/>
    <col min="16130" max="16130" width="21.33203125" style="565" customWidth="1"/>
    <col min="16131" max="16131" width="18.33203125" style="565" customWidth="1"/>
    <col min="16132" max="16132" width="11.44140625" style="565" customWidth="1"/>
    <col min="16133" max="16133" width="10.6640625" style="565" customWidth="1"/>
    <col min="16134" max="16134" width="12.33203125" style="565" customWidth="1"/>
    <col min="16135" max="16384" width="8.88671875" style="565"/>
  </cols>
  <sheetData>
    <row r="2" spans="2:6" ht="13.2" customHeight="1" x14ac:dyDescent="0.25">
      <c r="B2" s="834" t="s">
        <v>854</v>
      </c>
      <c r="C2" s="836" t="s">
        <v>855</v>
      </c>
      <c r="D2" s="787"/>
      <c r="E2" s="837" t="s">
        <v>856</v>
      </c>
      <c r="F2" s="837" t="s">
        <v>857</v>
      </c>
    </row>
    <row r="3" spans="2:6" x14ac:dyDescent="0.25">
      <c r="B3" s="835"/>
      <c r="C3" s="434" t="s">
        <v>858</v>
      </c>
      <c r="D3" s="434" t="s">
        <v>859</v>
      </c>
      <c r="E3" s="782"/>
      <c r="F3" s="782"/>
    </row>
    <row r="4" spans="2:6" ht="13.2" customHeight="1" x14ac:dyDescent="0.25">
      <c r="B4" s="838" t="s">
        <v>860</v>
      </c>
      <c r="C4" s="832" t="s">
        <v>861</v>
      </c>
      <c r="D4" s="831"/>
      <c r="E4" s="827" t="s">
        <v>530</v>
      </c>
      <c r="F4" s="829">
        <v>22952</v>
      </c>
    </row>
    <row r="5" spans="2:6" x14ac:dyDescent="0.25">
      <c r="B5" s="831"/>
      <c r="C5" s="833"/>
      <c r="D5" s="831"/>
      <c r="E5" s="828"/>
      <c r="F5" s="830"/>
    </row>
    <row r="6" spans="2:6" ht="13.2" customHeight="1" x14ac:dyDescent="0.25">
      <c r="B6" s="831"/>
      <c r="C6" s="838"/>
      <c r="D6" s="832" t="s">
        <v>838</v>
      </c>
      <c r="E6" s="827" t="s">
        <v>530</v>
      </c>
      <c r="F6" s="829">
        <v>27952</v>
      </c>
    </row>
    <row r="7" spans="2:6" x14ac:dyDescent="0.25">
      <c r="B7" s="831"/>
      <c r="C7" s="831"/>
      <c r="D7" s="833"/>
      <c r="E7" s="828"/>
      <c r="F7" s="830"/>
    </row>
    <row r="8" spans="2:6" ht="13.2" customHeight="1" x14ac:dyDescent="0.25">
      <c r="B8" s="831"/>
      <c r="C8" s="839"/>
      <c r="D8" s="842" t="s">
        <v>116</v>
      </c>
      <c r="E8" s="827" t="s">
        <v>530</v>
      </c>
      <c r="F8" s="845">
        <v>-5000</v>
      </c>
    </row>
    <row r="9" spans="2:6" x14ac:dyDescent="0.25">
      <c r="B9" s="831"/>
      <c r="C9" s="840"/>
      <c r="D9" s="840"/>
      <c r="E9" s="843"/>
      <c r="F9" s="846"/>
    </row>
    <row r="10" spans="2:6" ht="13.2" customHeight="1" x14ac:dyDescent="0.25">
      <c r="B10" s="831"/>
      <c r="C10" s="840"/>
      <c r="D10" s="840"/>
      <c r="E10" s="843"/>
      <c r="F10" s="847"/>
    </row>
    <row r="11" spans="2:6" x14ac:dyDescent="0.25">
      <c r="B11" s="831"/>
      <c r="C11" s="840"/>
      <c r="D11" s="840"/>
      <c r="E11" s="843"/>
      <c r="F11" s="847"/>
    </row>
    <row r="12" spans="2:6" ht="13.2" customHeight="1" x14ac:dyDescent="0.25">
      <c r="B12" s="831"/>
      <c r="C12" s="840"/>
      <c r="D12" s="840"/>
      <c r="E12" s="843"/>
      <c r="F12" s="847"/>
    </row>
    <row r="13" spans="2:6" ht="90.6" customHeight="1" x14ac:dyDescent="0.25">
      <c r="B13" s="831"/>
      <c r="C13" s="841"/>
      <c r="D13" s="841"/>
      <c r="E13" s="844"/>
      <c r="F13" s="848"/>
    </row>
    <row r="14" spans="2:6" ht="13.2" customHeight="1" x14ac:dyDescent="0.25">
      <c r="B14" s="838" t="s">
        <v>862</v>
      </c>
      <c r="C14" s="832" t="s">
        <v>323</v>
      </c>
      <c r="D14" s="831"/>
      <c r="E14" s="829">
        <v>44463</v>
      </c>
      <c r="F14" s="829">
        <v>43905</v>
      </c>
    </row>
    <row r="15" spans="2:6" x14ac:dyDescent="0.25">
      <c r="B15" s="831"/>
      <c r="C15" s="833"/>
      <c r="D15" s="831"/>
      <c r="E15" s="830"/>
      <c r="F15" s="830"/>
    </row>
    <row r="16" spans="2:6" ht="13.2" customHeight="1" x14ac:dyDescent="0.25">
      <c r="B16" s="831"/>
      <c r="C16" s="838"/>
      <c r="D16" s="832" t="s">
        <v>115</v>
      </c>
      <c r="E16" s="829">
        <v>-189555</v>
      </c>
      <c r="F16" s="829">
        <v>-189555</v>
      </c>
    </row>
    <row r="17" spans="2:6" x14ac:dyDescent="0.25">
      <c r="B17" s="831"/>
      <c r="C17" s="831"/>
      <c r="D17" s="833"/>
      <c r="E17" s="830"/>
      <c r="F17" s="830"/>
    </row>
    <row r="18" spans="2:6" ht="13.2" customHeight="1" x14ac:dyDescent="0.25">
      <c r="B18" s="831"/>
      <c r="C18" s="832"/>
      <c r="D18" s="832" t="s">
        <v>116</v>
      </c>
      <c r="E18" s="829"/>
      <c r="F18" s="829">
        <v>2381</v>
      </c>
    </row>
    <row r="19" spans="2:6" x14ac:dyDescent="0.25">
      <c r="B19" s="831"/>
      <c r="C19" s="833"/>
      <c r="D19" s="833"/>
      <c r="E19" s="830"/>
      <c r="F19" s="830"/>
    </row>
    <row r="20" spans="2:6" ht="13.2" customHeight="1" x14ac:dyDescent="0.25">
      <c r="B20" s="831"/>
      <c r="C20" s="838"/>
      <c r="D20" s="832" t="s">
        <v>336</v>
      </c>
      <c r="E20" s="829">
        <v>234018</v>
      </c>
      <c r="F20" s="829">
        <v>231079</v>
      </c>
    </row>
    <row r="21" spans="2:6" x14ac:dyDescent="0.25">
      <c r="B21" s="831"/>
      <c r="C21" s="831"/>
      <c r="D21" s="833"/>
      <c r="E21" s="830"/>
      <c r="F21" s="830"/>
    </row>
    <row r="22" spans="2:6" ht="13.2" customHeight="1" x14ac:dyDescent="0.25">
      <c r="B22" s="838" t="s">
        <v>863</v>
      </c>
      <c r="C22" s="832"/>
      <c r="D22" s="832" t="s">
        <v>115</v>
      </c>
      <c r="E22" s="829">
        <v>-924344</v>
      </c>
      <c r="F22" s="829">
        <v>-924344</v>
      </c>
    </row>
    <row r="23" spans="2:6" x14ac:dyDescent="0.25">
      <c r="B23" s="831"/>
      <c r="C23" s="833"/>
      <c r="D23" s="833"/>
      <c r="E23" s="830"/>
      <c r="F23" s="830"/>
    </row>
    <row r="24" spans="2:6" ht="13.2" customHeight="1" x14ac:dyDescent="0.25">
      <c r="B24" s="831"/>
      <c r="C24" s="838"/>
      <c r="D24" s="832" t="s">
        <v>218</v>
      </c>
      <c r="E24" s="829">
        <v>924344</v>
      </c>
      <c r="F24" s="829">
        <v>924344</v>
      </c>
    </row>
    <row r="25" spans="2:6" x14ac:dyDescent="0.25">
      <c r="B25" s="831"/>
      <c r="C25" s="831"/>
      <c r="D25" s="833"/>
      <c r="E25" s="830"/>
      <c r="F25" s="830"/>
    </row>
    <row r="26" spans="2:6" x14ac:dyDescent="0.25">
      <c r="B26" s="839" t="s">
        <v>864</v>
      </c>
      <c r="C26" s="832" t="s">
        <v>7</v>
      </c>
      <c r="D26" s="831"/>
      <c r="E26" s="827" t="s">
        <v>530</v>
      </c>
      <c r="F26" s="829">
        <v>-532630</v>
      </c>
    </row>
    <row r="27" spans="2:6" x14ac:dyDescent="0.25">
      <c r="B27" s="840"/>
      <c r="C27" s="833"/>
      <c r="D27" s="831"/>
      <c r="E27" s="828"/>
      <c r="F27" s="830"/>
    </row>
    <row r="28" spans="2:6" x14ac:dyDescent="0.25">
      <c r="B28" s="840"/>
      <c r="C28" s="832" t="s">
        <v>527</v>
      </c>
      <c r="D28" s="832"/>
      <c r="E28" s="827" t="s">
        <v>530</v>
      </c>
      <c r="F28" s="829">
        <v>-243452</v>
      </c>
    </row>
    <row r="29" spans="2:6" x14ac:dyDescent="0.25">
      <c r="B29" s="840"/>
      <c r="C29" s="833"/>
      <c r="D29" s="833"/>
      <c r="E29" s="828"/>
      <c r="F29" s="830"/>
    </row>
    <row r="30" spans="2:6" x14ac:dyDescent="0.25">
      <c r="B30" s="840"/>
      <c r="C30" s="832"/>
      <c r="D30" s="832" t="s">
        <v>116</v>
      </c>
      <c r="E30" s="827" t="s">
        <v>530</v>
      </c>
      <c r="F30" s="829">
        <v>-776082</v>
      </c>
    </row>
    <row r="31" spans="2:6" x14ac:dyDescent="0.25">
      <c r="B31" s="841"/>
      <c r="C31" s="833"/>
      <c r="D31" s="833"/>
      <c r="E31" s="828"/>
      <c r="F31" s="830"/>
    </row>
    <row r="32" spans="2:6" x14ac:dyDescent="0.25">
      <c r="B32" s="839" t="s">
        <v>865</v>
      </c>
      <c r="C32" s="832" t="s">
        <v>527</v>
      </c>
      <c r="D32" s="832"/>
      <c r="E32" s="845">
        <v>-1622622</v>
      </c>
      <c r="F32" s="850">
        <v>-3410863</v>
      </c>
    </row>
    <row r="33" spans="2:6" x14ac:dyDescent="0.25">
      <c r="B33" s="840"/>
      <c r="C33" s="833"/>
      <c r="D33" s="833"/>
      <c r="E33" s="849"/>
      <c r="F33" s="849"/>
    </row>
    <row r="34" spans="2:6" x14ac:dyDescent="0.25">
      <c r="B34" s="840"/>
      <c r="C34" s="832"/>
      <c r="D34" s="832" t="s">
        <v>115</v>
      </c>
      <c r="E34" s="845">
        <v>-1622622</v>
      </c>
      <c r="F34" s="850">
        <v>-3410863</v>
      </c>
    </row>
    <row r="35" spans="2:6" x14ac:dyDescent="0.25">
      <c r="B35" s="841"/>
      <c r="C35" s="833"/>
      <c r="D35" s="833"/>
      <c r="E35" s="849"/>
      <c r="F35" s="849"/>
    </row>
    <row r="36" spans="2:6" x14ac:dyDescent="0.25">
      <c r="B36" s="838" t="s">
        <v>1053</v>
      </c>
      <c r="C36" s="832" t="s">
        <v>47</v>
      </c>
      <c r="D36" s="832"/>
      <c r="E36" s="827" t="s">
        <v>530</v>
      </c>
      <c r="F36" s="829">
        <v>-10620</v>
      </c>
    </row>
    <row r="37" spans="2:6" x14ac:dyDescent="0.25">
      <c r="B37" s="831"/>
      <c r="C37" s="833"/>
      <c r="D37" s="833"/>
      <c r="E37" s="828"/>
      <c r="F37" s="830"/>
    </row>
    <row r="38" spans="2:6" x14ac:dyDescent="0.25">
      <c r="B38" s="831"/>
      <c r="C38" s="832" t="s">
        <v>7</v>
      </c>
      <c r="D38" s="832"/>
      <c r="E38" s="827" t="s">
        <v>530</v>
      </c>
      <c r="F38" s="829">
        <f>-936073+323191</f>
        <v>-612882</v>
      </c>
    </row>
    <row r="39" spans="2:6" x14ac:dyDescent="0.25">
      <c r="B39" s="831"/>
      <c r="C39" s="833"/>
      <c r="D39" s="833"/>
      <c r="E39" s="828"/>
      <c r="F39" s="830"/>
    </row>
    <row r="40" spans="2:6" x14ac:dyDescent="0.25">
      <c r="B40" s="831"/>
      <c r="C40" s="832" t="s">
        <v>217</v>
      </c>
      <c r="D40" s="832"/>
      <c r="E40" s="827" t="s">
        <v>530</v>
      </c>
      <c r="F40" s="829">
        <v>168050</v>
      </c>
    </row>
    <row r="41" spans="2:6" ht="16.2" customHeight="1" x14ac:dyDescent="0.25">
      <c r="B41" s="831"/>
      <c r="C41" s="833"/>
      <c r="D41" s="833"/>
      <c r="E41" s="828"/>
      <c r="F41" s="830"/>
    </row>
    <row r="42" spans="2:6" x14ac:dyDescent="0.25">
      <c r="B42" s="831"/>
      <c r="C42" s="832" t="s">
        <v>676</v>
      </c>
      <c r="D42" s="832"/>
      <c r="E42" s="827" t="s">
        <v>530</v>
      </c>
      <c r="F42" s="829">
        <v>212778</v>
      </c>
    </row>
    <row r="43" spans="2:6" x14ac:dyDescent="0.25">
      <c r="B43" s="831"/>
      <c r="C43" s="833"/>
      <c r="D43" s="833"/>
      <c r="E43" s="828"/>
      <c r="F43" s="830"/>
    </row>
    <row r="44" spans="2:6" x14ac:dyDescent="0.25">
      <c r="B44" s="831"/>
      <c r="C44" s="832" t="s">
        <v>323</v>
      </c>
      <c r="D44" s="832"/>
      <c r="E44" s="827" t="s">
        <v>530</v>
      </c>
      <c r="F44" s="829">
        <v>-6642</v>
      </c>
    </row>
    <row r="45" spans="2:6" x14ac:dyDescent="0.25">
      <c r="B45" s="831"/>
      <c r="C45" s="833"/>
      <c r="D45" s="833"/>
      <c r="E45" s="828"/>
      <c r="F45" s="830"/>
    </row>
    <row r="46" spans="2:6" x14ac:dyDescent="0.25">
      <c r="B46" s="831"/>
      <c r="C46" s="832" t="s">
        <v>324</v>
      </c>
      <c r="D46" s="832"/>
      <c r="E46" s="827" t="s">
        <v>530</v>
      </c>
      <c r="F46" s="829">
        <v>-194634</v>
      </c>
    </row>
    <row r="47" spans="2:6" x14ac:dyDescent="0.25">
      <c r="B47" s="831"/>
      <c r="C47" s="833"/>
      <c r="D47" s="833"/>
      <c r="E47" s="828"/>
      <c r="F47" s="830"/>
    </row>
    <row r="48" spans="2:6" x14ac:dyDescent="0.25">
      <c r="B48" s="831"/>
      <c r="C48" s="832" t="s">
        <v>866</v>
      </c>
      <c r="D48" s="832"/>
      <c r="E48" s="827" t="s">
        <v>530</v>
      </c>
      <c r="F48" s="829">
        <v>-4110</v>
      </c>
    </row>
    <row r="49" spans="2:6" x14ac:dyDescent="0.25">
      <c r="B49" s="831"/>
      <c r="C49" s="833"/>
      <c r="D49" s="833"/>
      <c r="E49" s="828"/>
      <c r="F49" s="830"/>
    </row>
    <row r="50" spans="2:6" x14ac:dyDescent="0.25">
      <c r="B50" s="831"/>
      <c r="C50" s="832" t="s">
        <v>322</v>
      </c>
      <c r="D50" s="832"/>
      <c r="E50" s="827" t="s">
        <v>530</v>
      </c>
      <c r="F50" s="829">
        <v>-490</v>
      </c>
    </row>
    <row r="51" spans="2:6" x14ac:dyDescent="0.25">
      <c r="B51" s="831"/>
      <c r="C51" s="833"/>
      <c r="D51" s="833"/>
      <c r="E51" s="828"/>
      <c r="F51" s="830"/>
    </row>
    <row r="52" spans="2:6" x14ac:dyDescent="0.25">
      <c r="B52" s="831"/>
      <c r="C52" s="832" t="s">
        <v>325</v>
      </c>
      <c r="D52" s="832"/>
      <c r="E52" s="827" t="s">
        <v>530</v>
      </c>
      <c r="F52" s="829">
        <v>-83624</v>
      </c>
    </row>
    <row r="53" spans="2:6" x14ac:dyDescent="0.25">
      <c r="B53" s="831"/>
      <c r="C53" s="833"/>
      <c r="D53" s="833"/>
      <c r="E53" s="828"/>
      <c r="F53" s="830"/>
    </row>
    <row r="54" spans="2:6" x14ac:dyDescent="0.25">
      <c r="B54" s="831"/>
      <c r="C54" s="832"/>
      <c r="D54" s="832" t="s">
        <v>335</v>
      </c>
      <c r="E54" s="827" t="s">
        <v>530</v>
      </c>
      <c r="F54" s="829">
        <v>-200000</v>
      </c>
    </row>
    <row r="55" spans="2:6" x14ac:dyDescent="0.25">
      <c r="B55" s="831"/>
      <c r="C55" s="833"/>
      <c r="D55" s="833"/>
      <c r="E55" s="828"/>
      <c r="F55" s="830"/>
    </row>
    <row r="56" spans="2:6" ht="13.2" customHeight="1" x14ac:dyDescent="0.25">
      <c r="B56" s="831"/>
      <c r="C56" s="832"/>
      <c r="D56" s="832" t="s">
        <v>116</v>
      </c>
      <c r="E56" s="827" t="s">
        <v>530</v>
      </c>
      <c r="F56" s="829">
        <f>-263212+323191</f>
        <v>59979</v>
      </c>
    </row>
    <row r="57" spans="2:6" x14ac:dyDescent="0.25">
      <c r="B57" s="831"/>
      <c r="C57" s="833"/>
      <c r="D57" s="833"/>
      <c r="E57" s="828"/>
      <c r="F57" s="830"/>
    </row>
    <row r="58" spans="2:6" x14ac:dyDescent="0.25">
      <c r="B58" s="831"/>
      <c r="C58" s="832"/>
      <c r="D58" s="832" t="s">
        <v>867</v>
      </c>
      <c r="E58" s="827" t="s">
        <v>530</v>
      </c>
      <c r="F58" s="829">
        <v>-60714</v>
      </c>
    </row>
    <row r="59" spans="2:6" ht="16.2" customHeight="1" x14ac:dyDescent="0.25">
      <c r="B59" s="831"/>
      <c r="C59" s="833"/>
      <c r="D59" s="833"/>
      <c r="E59" s="828"/>
      <c r="F59" s="830"/>
    </row>
    <row r="60" spans="2:6" x14ac:dyDescent="0.25">
      <c r="B60" s="831"/>
      <c r="C60" s="832"/>
      <c r="D60" s="832" t="s">
        <v>337</v>
      </c>
      <c r="E60" s="827" t="s">
        <v>530</v>
      </c>
      <c r="F60" s="829">
        <v>-229320</v>
      </c>
    </row>
    <row r="61" spans="2:6" x14ac:dyDescent="0.25">
      <c r="B61" s="831"/>
      <c r="C61" s="833"/>
      <c r="D61" s="833"/>
      <c r="E61" s="828"/>
      <c r="F61" s="830"/>
    </row>
    <row r="62" spans="2:6" x14ac:dyDescent="0.25">
      <c r="B62" s="831"/>
      <c r="C62" s="832"/>
      <c r="D62" s="832" t="s">
        <v>481</v>
      </c>
      <c r="E62" s="827" t="s">
        <v>530</v>
      </c>
      <c r="F62" s="829">
        <v>-96239</v>
      </c>
    </row>
    <row r="63" spans="2:6" x14ac:dyDescent="0.25">
      <c r="B63" s="831"/>
      <c r="C63" s="833"/>
      <c r="D63" s="833"/>
      <c r="E63" s="828"/>
      <c r="F63" s="830"/>
    </row>
    <row r="64" spans="2:6" x14ac:dyDescent="0.25">
      <c r="B64" s="831"/>
      <c r="C64" s="832"/>
      <c r="D64" s="832" t="s">
        <v>336</v>
      </c>
      <c r="E64" s="827" t="s">
        <v>530</v>
      </c>
      <c r="F64" s="829">
        <v>-5880</v>
      </c>
    </row>
    <row r="65" spans="2:6" x14ac:dyDescent="0.25">
      <c r="B65" s="831"/>
      <c r="C65" s="833"/>
      <c r="D65" s="833"/>
      <c r="E65" s="828"/>
      <c r="F65" s="830"/>
    </row>
    <row r="66" spans="2:6" ht="13.8" customHeight="1" x14ac:dyDescent="0.25">
      <c r="B66" s="831" t="s">
        <v>1038</v>
      </c>
      <c r="C66" s="832"/>
      <c r="D66" s="832" t="s">
        <v>109</v>
      </c>
      <c r="E66" s="827" t="s">
        <v>530</v>
      </c>
      <c r="F66" s="829">
        <v>1310152</v>
      </c>
    </row>
    <row r="67" spans="2:6" x14ac:dyDescent="0.25">
      <c r="B67" s="831"/>
      <c r="C67" s="833"/>
      <c r="D67" s="833"/>
      <c r="E67" s="828"/>
      <c r="F67" s="830"/>
    </row>
    <row r="68" spans="2:6" x14ac:dyDescent="0.25">
      <c r="B68" s="831"/>
      <c r="C68" s="832" t="s">
        <v>32</v>
      </c>
      <c r="D68" s="832"/>
      <c r="E68" s="827" t="s">
        <v>530</v>
      </c>
      <c r="F68" s="829">
        <v>874649</v>
      </c>
    </row>
    <row r="69" spans="2:6" x14ac:dyDescent="0.25">
      <c r="B69" s="831"/>
      <c r="C69" s="833"/>
      <c r="D69" s="833"/>
      <c r="E69" s="828"/>
      <c r="F69" s="830"/>
    </row>
    <row r="70" spans="2:6" x14ac:dyDescent="0.25">
      <c r="B70" s="831"/>
      <c r="C70" s="832" t="s">
        <v>39</v>
      </c>
      <c r="D70" s="832"/>
      <c r="E70" s="827" t="s">
        <v>530</v>
      </c>
      <c r="F70" s="829">
        <v>363155</v>
      </c>
    </row>
    <row r="71" spans="2:6" x14ac:dyDescent="0.25">
      <c r="B71" s="831"/>
      <c r="C71" s="833"/>
      <c r="D71" s="833"/>
      <c r="E71" s="828"/>
      <c r="F71" s="830"/>
    </row>
    <row r="72" spans="2:6" x14ac:dyDescent="0.25">
      <c r="B72" s="831"/>
      <c r="C72" s="832" t="s">
        <v>213</v>
      </c>
      <c r="D72" s="832"/>
      <c r="E72" s="827" t="s">
        <v>530</v>
      </c>
      <c r="F72" s="829">
        <v>72348</v>
      </c>
    </row>
    <row r="73" spans="2:6" x14ac:dyDescent="0.25">
      <c r="B73" s="831"/>
      <c r="C73" s="833"/>
      <c r="D73" s="833"/>
      <c r="E73" s="828"/>
      <c r="F73" s="830"/>
    </row>
  </sheetData>
  <mergeCells count="143">
    <mergeCell ref="C64:C65"/>
    <mergeCell ref="D64:D65"/>
    <mergeCell ref="E64:E65"/>
    <mergeCell ref="F64:F65"/>
    <mergeCell ref="C58:C59"/>
    <mergeCell ref="D58:D59"/>
    <mergeCell ref="E58:E59"/>
    <mergeCell ref="F58:F59"/>
    <mergeCell ref="C60:C61"/>
    <mergeCell ref="D60:D61"/>
    <mergeCell ref="E60:E61"/>
    <mergeCell ref="F60:F61"/>
    <mergeCell ref="C62:C63"/>
    <mergeCell ref="D62:D63"/>
    <mergeCell ref="E62:E63"/>
    <mergeCell ref="F62:F63"/>
    <mergeCell ref="C52:C53"/>
    <mergeCell ref="D52:D53"/>
    <mergeCell ref="E52:E53"/>
    <mergeCell ref="F52:F53"/>
    <mergeCell ref="C54:C55"/>
    <mergeCell ref="D54:D55"/>
    <mergeCell ref="E54:E55"/>
    <mergeCell ref="F54:F55"/>
    <mergeCell ref="C56:C57"/>
    <mergeCell ref="D56:D57"/>
    <mergeCell ref="E56:E57"/>
    <mergeCell ref="F56:F57"/>
    <mergeCell ref="E46:E47"/>
    <mergeCell ref="F46:F47"/>
    <mergeCell ref="C48:C49"/>
    <mergeCell ref="D48:D49"/>
    <mergeCell ref="E48:E49"/>
    <mergeCell ref="F48:F49"/>
    <mergeCell ref="C50:C51"/>
    <mergeCell ref="D50:D51"/>
    <mergeCell ref="E50:E51"/>
    <mergeCell ref="F50:F51"/>
    <mergeCell ref="B36:B65"/>
    <mergeCell ref="C36:C37"/>
    <mergeCell ref="D36:D37"/>
    <mergeCell ref="E36:E37"/>
    <mergeCell ref="F36:F37"/>
    <mergeCell ref="C38:C39"/>
    <mergeCell ref="D38:D39"/>
    <mergeCell ref="E38:E39"/>
    <mergeCell ref="B32:B35"/>
    <mergeCell ref="C32:C33"/>
    <mergeCell ref="D32:D33"/>
    <mergeCell ref="E32:E33"/>
    <mergeCell ref="F32:F33"/>
    <mergeCell ref="C34:C35"/>
    <mergeCell ref="C42:C43"/>
    <mergeCell ref="D42:D43"/>
    <mergeCell ref="E42:E43"/>
    <mergeCell ref="F42:F43"/>
    <mergeCell ref="C44:C45"/>
    <mergeCell ref="D44:D45"/>
    <mergeCell ref="E44:E45"/>
    <mergeCell ref="F44:F45"/>
    <mergeCell ref="C46:C47"/>
    <mergeCell ref="D46:D47"/>
    <mergeCell ref="D34:D35"/>
    <mergeCell ref="E34:E35"/>
    <mergeCell ref="F28:F29"/>
    <mergeCell ref="C30:C31"/>
    <mergeCell ref="D30:D31"/>
    <mergeCell ref="E30:E31"/>
    <mergeCell ref="F30:F31"/>
    <mergeCell ref="F38:F39"/>
    <mergeCell ref="C40:C41"/>
    <mergeCell ref="D40:D41"/>
    <mergeCell ref="E40:E41"/>
    <mergeCell ref="F40:F41"/>
    <mergeCell ref="F34:F35"/>
    <mergeCell ref="F24:F25"/>
    <mergeCell ref="B26:B31"/>
    <mergeCell ref="C26:C27"/>
    <mergeCell ref="D26:D27"/>
    <mergeCell ref="E26:E27"/>
    <mergeCell ref="F26:F27"/>
    <mergeCell ref="C28:C29"/>
    <mergeCell ref="D28:D29"/>
    <mergeCell ref="E28:E29"/>
    <mergeCell ref="B22:B25"/>
    <mergeCell ref="C22:C23"/>
    <mergeCell ref="D22:D23"/>
    <mergeCell ref="E22:E23"/>
    <mergeCell ref="F22:F23"/>
    <mergeCell ref="C24:C25"/>
    <mergeCell ref="D24:D25"/>
    <mergeCell ref="E24:E25"/>
    <mergeCell ref="E8:E13"/>
    <mergeCell ref="F8:F13"/>
    <mergeCell ref="C18:C19"/>
    <mergeCell ref="D18:D19"/>
    <mergeCell ref="E18:E19"/>
    <mergeCell ref="F18:F19"/>
    <mergeCell ref="C20:C21"/>
    <mergeCell ref="D20:D21"/>
    <mergeCell ref="E20:E21"/>
    <mergeCell ref="F20:F21"/>
    <mergeCell ref="B2:B3"/>
    <mergeCell ref="C2:D2"/>
    <mergeCell ref="E2:E3"/>
    <mergeCell ref="F2:F3"/>
    <mergeCell ref="B4:B13"/>
    <mergeCell ref="C4:C5"/>
    <mergeCell ref="D4:D5"/>
    <mergeCell ref="E4:E5"/>
    <mergeCell ref="B14:B21"/>
    <mergeCell ref="C14:C15"/>
    <mergeCell ref="D14:D15"/>
    <mergeCell ref="E14:E15"/>
    <mergeCell ref="F4:F5"/>
    <mergeCell ref="C6:C7"/>
    <mergeCell ref="D6:D7"/>
    <mergeCell ref="E6:E7"/>
    <mergeCell ref="F6:F7"/>
    <mergeCell ref="F14:F15"/>
    <mergeCell ref="C16:C17"/>
    <mergeCell ref="D16:D17"/>
    <mergeCell ref="E16:E17"/>
    <mergeCell ref="F16:F17"/>
    <mergeCell ref="C8:C13"/>
    <mergeCell ref="D8:D13"/>
    <mergeCell ref="E66:E67"/>
    <mergeCell ref="E68:E69"/>
    <mergeCell ref="E70:E71"/>
    <mergeCell ref="E72:E73"/>
    <mergeCell ref="F66:F67"/>
    <mergeCell ref="F68:F69"/>
    <mergeCell ref="F70:F71"/>
    <mergeCell ref="F72:F73"/>
    <mergeCell ref="B66:B73"/>
    <mergeCell ref="C66:C67"/>
    <mergeCell ref="C68:C69"/>
    <mergeCell ref="C70:C71"/>
    <mergeCell ref="C72:C73"/>
    <mergeCell ref="D66:D67"/>
    <mergeCell ref="D68:D69"/>
    <mergeCell ref="D70:D71"/>
    <mergeCell ref="D72:D7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3"/>
  <sheetViews>
    <sheetView topLeftCell="A72" workbookViewId="0">
      <selection activeCell="B123" sqref="B123:F124"/>
    </sheetView>
  </sheetViews>
  <sheetFormatPr defaultRowHeight="13.2" x14ac:dyDescent="0.25"/>
  <cols>
    <col min="1" max="1" width="8.88671875" style="565"/>
    <col min="2" max="2" width="47.109375" style="565" customWidth="1"/>
    <col min="3" max="3" width="11.5546875" style="565" customWidth="1"/>
    <col min="4" max="4" width="10" style="565" customWidth="1"/>
    <col min="5" max="5" width="11.44140625" style="565" customWidth="1"/>
    <col min="6" max="6" width="11.6640625" style="565" customWidth="1"/>
    <col min="7" max="7" width="10.6640625" style="565" customWidth="1"/>
    <col min="8" max="8" width="9.6640625" style="565" customWidth="1"/>
    <col min="9" max="257" width="8.88671875" style="565"/>
    <col min="258" max="258" width="47.109375" style="565" customWidth="1"/>
    <col min="259" max="259" width="11.5546875" style="565" customWidth="1"/>
    <col min="260" max="260" width="10" style="565" customWidth="1"/>
    <col min="261" max="261" width="11.44140625" style="565" customWidth="1"/>
    <col min="262" max="262" width="11.6640625" style="565" customWidth="1"/>
    <col min="263" max="263" width="10.6640625" style="565" customWidth="1"/>
    <col min="264" max="264" width="9.6640625" style="565" customWidth="1"/>
    <col min="265" max="513" width="8.88671875" style="565"/>
    <col min="514" max="514" width="47.109375" style="565" customWidth="1"/>
    <col min="515" max="515" width="11.5546875" style="565" customWidth="1"/>
    <col min="516" max="516" width="10" style="565" customWidth="1"/>
    <col min="517" max="517" width="11.44140625" style="565" customWidth="1"/>
    <col min="518" max="518" width="11.6640625" style="565" customWidth="1"/>
    <col min="519" max="519" width="10.6640625" style="565" customWidth="1"/>
    <col min="520" max="520" width="9.6640625" style="565" customWidth="1"/>
    <col min="521" max="769" width="8.88671875" style="565"/>
    <col min="770" max="770" width="47.109375" style="565" customWidth="1"/>
    <col min="771" max="771" width="11.5546875" style="565" customWidth="1"/>
    <col min="772" max="772" width="10" style="565" customWidth="1"/>
    <col min="773" max="773" width="11.44140625" style="565" customWidth="1"/>
    <col min="774" max="774" width="11.6640625" style="565" customWidth="1"/>
    <col min="775" max="775" width="10.6640625" style="565" customWidth="1"/>
    <col min="776" max="776" width="9.6640625" style="565" customWidth="1"/>
    <col min="777" max="1025" width="8.88671875" style="565"/>
    <col min="1026" max="1026" width="47.109375" style="565" customWidth="1"/>
    <col min="1027" max="1027" width="11.5546875" style="565" customWidth="1"/>
    <col min="1028" max="1028" width="10" style="565" customWidth="1"/>
    <col min="1029" max="1029" width="11.44140625" style="565" customWidth="1"/>
    <col min="1030" max="1030" width="11.6640625" style="565" customWidth="1"/>
    <col min="1031" max="1031" width="10.6640625" style="565" customWidth="1"/>
    <col min="1032" max="1032" width="9.6640625" style="565" customWidth="1"/>
    <col min="1033" max="1281" width="8.88671875" style="565"/>
    <col min="1282" max="1282" width="47.109375" style="565" customWidth="1"/>
    <col min="1283" max="1283" width="11.5546875" style="565" customWidth="1"/>
    <col min="1284" max="1284" width="10" style="565" customWidth="1"/>
    <col min="1285" max="1285" width="11.44140625" style="565" customWidth="1"/>
    <col min="1286" max="1286" width="11.6640625" style="565" customWidth="1"/>
    <col min="1287" max="1287" width="10.6640625" style="565" customWidth="1"/>
    <col min="1288" max="1288" width="9.6640625" style="565" customWidth="1"/>
    <col min="1289" max="1537" width="8.88671875" style="565"/>
    <col min="1538" max="1538" width="47.109375" style="565" customWidth="1"/>
    <col min="1539" max="1539" width="11.5546875" style="565" customWidth="1"/>
    <col min="1540" max="1540" width="10" style="565" customWidth="1"/>
    <col min="1541" max="1541" width="11.44140625" style="565" customWidth="1"/>
    <col min="1542" max="1542" width="11.6640625" style="565" customWidth="1"/>
    <col min="1543" max="1543" width="10.6640625" style="565" customWidth="1"/>
    <col min="1544" max="1544" width="9.6640625" style="565" customWidth="1"/>
    <col min="1545" max="1793" width="8.88671875" style="565"/>
    <col min="1794" max="1794" width="47.109375" style="565" customWidth="1"/>
    <col min="1795" max="1795" width="11.5546875" style="565" customWidth="1"/>
    <col min="1796" max="1796" width="10" style="565" customWidth="1"/>
    <col min="1797" max="1797" width="11.44140625" style="565" customWidth="1"/>
    <col min="1798" max="1798" width="11.6640625" style="565" customWidth="1"/>
    <col min="1799" max="1799" width="10.6640625" style="565" customWidth="1"/>
    <col min="1800" max="1800" width="9.6640625" style="565" customWidth="1"/>
    <col min="1801" max="2049" width="8.88671875" style="565"/>
    <col min="2050" max="2050" width="47.109375" style="565" customWidth="1"/>
    <col min="2051" max="2051" width="11.5546875" style="565" customWidth="1"/>
    <col min="2052" max="2052" width="10" style="565" customWidth="1"/>
    <col min="2053" max="2053" width="11.44140625" style="565" customWidth="1"/>
    <col min="2054" max="2054" width="11.6640625" style="565" customWidth="1"/>
    <col min="2055" max="2055" width="10.6640625" style="565" customWidth="1"/>
    <col min="2056" max="2056" width="9.6640625" style="565" customWidth="1"/>
    <col min="2057" max="2305" width="8.88671875" style="565"/>
    <col min="2306" max="2306" width="47.109375" style="565" customWidth="1"/>
    <col min="2307" max="2307" width="11.5546875" style="565" customWidth="1"/>
    <col min="2308" max="2308" width="10" style="565" customWidth="1"/>
    <col min="2309" max="2309" width="11.44140625" style="565" customWidth="1"/>
    <col min="2310" max="2310" width="11.6640625" style="565" customWidth="1"/>
    <col min="2311" max="2311" width="10.6640625" style="565" customWidth="1"/>
    <col min="2312" max="2312" width="9.6640625" style="565" customWidth="1"/>
    <col min="2313" max="2561" width="8.88671875" style="565"/>
    <col min="2562" max="2562" width="47.109375" style="565" customWidth="1"/>
    <col min="2563" max="2563" width="11.5546875" style="565" customWidth="1"/>
    <col min="2564" max="2564" width="10" style="565" customWidth="1"/>
    <col min="2565" max="2565" width="11.44140625" style="565" customWidth="1"/>
    <col min="2566" max="2566" width="11.6640625" style="565" customWidth="1"/>
    <col min="2567" max="2567" width="10.6640625" style="565" customWidth="1"/>
    <col min="2568" max="2568" width="9.6640625" style="565" customWidth="1"/>
    <col min="2569" max="2817" width="8.88671875" style="565"/>
    <col min="2818" max="2818" width="47.109375" style="565" customWidth="1"/>
    <col min="2819" max="2819" width="11.5546875" style="565" customWidth="1"/>
    <col min="2820" max="2820" width="10" style="565" customWidth="1"/>
    <col min="2821" max="2821" width="11.44140625" style="565" customWidth="1"/>
    <col min="2822" max="2822" width="11.6640625" style="565" customWidth="1"/>
    <col min="2823" max="2823" width="10.6640625" style="565" customWidth="1"/>
    <col min="2824" max="2824" width="9.6640625" style="565" customWidth="1"/>
    <col min="2825" max="3073" width="8.88671875" style="565"/>
    <col min="3074" max="3074" width="47.109375" style="565" customWidth="1"/>
    <col min="3075" max="3075" width="11.5546875" style="565" customWidth="1"/>
    <col min="3076" max="3076" width="10" style="565" customWidth="1"/>
    <col min="3077" max="3077" width="11.44140625" style="565" customWidth="1"/>
    <col min="3078" max="3078" width="11.6640625" style="565" customWidth="1"/>
    <col min="3079" max="3079" width="10.6640625" style="565" customWidth="1"/>
    <col min="3080" max="3080" width="9.6640625" style="565" customWidth="1"/>
    <col min="3081" max="3329" width="8.88671875" style="565"/>
    <col min="3330" max="3330" width="47.109375" style="565" customWidth="1"/>
    <col min="3331" max="3331" width="11.5546875" style="565" customWidth="1"/>
    <col min="3332" max="3332" width="10" style="565" customWidth="1"/>
    <col min="3333" max="3333" width="11.44140625" style="565" customWidth="1"/>
    <col min="3334" max="3334" width="11.6640625" style="565" customWidth="1"/>
    <col min="3335" max="3335" width="10.6640625" style="565" customWidth="1"/>
    <col min="3336" max="3336" width="9.6640625" style="565" customWidth="1"/>
    <col min="3337" max="3585" width="8.88671875" style="565"/>
    <col min="3586" max="3586" width="47.109375" style="565" customWidth="1"/>
    <col min="3587" max="3587" width="11.5546875" style="565" customWidth="1"/>
    <col min="3588" max="3588" width="10" style="565" customWidth="1"/>
    <col min="3589" max="3589" width="11.44140625" style="565" customWidth="1"/>
    <col min="3590" max="3590" width="11.6640625" style="565" customWidth="1"/>
    <col min="3591" max="3591" width="10.6640625" style="565" customWidth="1"/>
    <col min="3592" max="3592" width="9.6640625" style="565" customWidth="1"/>
    <col min="3593" max="3841" width="8.88671875" style="565"/>
    <col min="3842" max="3842" width="47.109375" style="565" customWidth="1"/>
    <col min="3843" max="3843" width="11.5546875" style="565" customWidth="1"/>
    <col min="3844" max="3844" width="10" style="565" customWidth="1"/>
    <col min="3845" max="3845" width="11.44140625" style="565" customWidth="1"/>
    <col min="3846" max="3846" width="11.6640625" style="565" customWidth="1"/>
    <col min="3847" max="3847" width="10.6640625" style="565" customWidth="1"/>
    <col min="3848" max="3848" width="9.6640625" style="565" customWidth="1"/>
    <col min="3849" max="4097" width="8.88671875" style="565"/>
    <col min="4098" max="4098" width="47.109375" style="565" customWidth="1"/>
    <col min="4099" max="4099" width="11.5546875" style="565" customWidth="1"/>
    <col min="4100" max="4100" width="10" style="565" customWidth="1"/>
    <col min="4101" max="4101" width="11.44140625" style="565" customWidth="1"/>
    <col min="4102" max="4102" width="11.6640625" style="565" customWidth="1"/>
    <col min="4103" max="4103" width="10.6640625" style="565" customWidth="1"/>
    <col min="4104" max="4104" width="9.6640625" style="565" customWidth="1"/>
    <col min="4105" max="4353" width="8.88671875" style="565"/>
    <col min="4354" max="4354" width="47.109375" style="565" customWidth="1"/>
    <col min="4355" max="4355" width="11.5546875" style="565" customWidth="1"/>
    <col min="4356" max="4356" width="10" style="565" customWidth="1"/>
    <col min="4357" max="4357" width="11.44140625" style="565" customWidth="1"/>
    <col min="4358" max="4358" width="11.6640625" style="565" customWidth="1"/>
    <col min="4359" max="4359" width="10.6640625" style="565" customWidth="1"/>
    <col min="4360" max="4360" width="9.6640625" style="565" customWidth="1"/>
    <col min="4361" max="4609" width="8.88671875" style="565"/>
    <col min="4610" max="4610" width="47.109375" style="565" customWidth="1"/>
    <col min="4611" max="4611" width="11.5546875" style="565" customWidth="1"/>
    <col min="4612" max="4612" width="10" style="565" customWidth="1"/>
    <col min="4613" max="4613" width="11.44140625" style="565" customWidth="1"/>
    <col min="4614" max="4614" width="11.6640625" style="565" customWidth="1"/>
    <col min="4615" max="4615" width="10.6640625" style="565" customWidth="1"/>
    <col min="4616" max="4616" width="9.6640625" style="565" customWidth="1"/>
    <col min="4617" max="4865" width="8.88671875" style="565"/>
    <col min="4866" max="4866" width="47.109375" style="565" customWidth="1"/>
    <col min="4867" max="4867" width="11.5546875" style="565" customWidth="1"/>
    <col min="4868" max="4868" width="10" style="565" customWidth="1"/>
    <col min="4869" max="4869" width="11.44140625" style="565" customWidth="1"/>
    <col min="4870" max="4870" width="11.6640625" style="565" customWidth="1"/>
    <col min="4871" max="4871" width="10.6640625" style="565" customWidth="1"/>
    <col min="4872" max="4872" width="9.6640625" style="565" customWidth="1"/>
    <col min="4873" max="5121" width="8.88671875" style="565"/>
    <col min="5122" max="5122" width="47.109375" style="565" customWidth="1"/>
    <col min="5123" max="5123" width="11.5546875" style="565" customWidth="1"/>
    <col min="5124" max="5124" width="10" style="565" customWidth="1"/>
    <col min="5125" max="5125" width="11.44140625" style="565" customWidth="1"/>
    <col min="5126" max="5126" width="11.6640625" style="565" customWidth="1"/>
    <col min="5127" max="5127" width="10.6640625" style="565" customWidth="1"/>
    <col min="5128" max="5128" width="9.6640625" style="565" customWidth="1"/>
    <col min="5129" max="5377" width="8.88671875" style="565"/>
    <col min="5378" max="5378" width="47.109375" style="565" customWidth="1"/>
    <col min="5379" max="5379" width="11.5546875" style="565" customWidth="1"/>
    <col min="5380" max="5380" width="10" style="565" customWidth="1"/>
    <col min="5381" max="5381" width="11.44140625" style="565" customWidth="1"/>
    <col min="5382" max="5382" width="11.6640625" style="565" customWidth="1"/>
    <col min="5383" max="5383" width="10.6640625" style="565" customWidth="1"/>
    <col min="5384" max="5384" width="9.6640625" style="565" customWidth="1"/>
    <col min="5385" max="5633" width="8.88671875" style="565"/>
    <col min="5634" max="5634" width="47.109375" style="565" customWidth="1"/>
    <col min="5635" max="5635" width="11.5546875" style="565" customWidth="1"/>
    <col min="5636" max="5636" width="10" style="565" customWidth="1"/>
    <col min="5637" max="5637" width="11.44140625" style="565" customWidth="1"/>
    <col min="5638" max="5638" width="11.6640625" style="565" customWidth="1"/>
    <col min="5639" max="5639" width="10.6640625" style="565" customWidth="1"/>
    <col min="5640" max="5640" width="9.6640625" style="565" customWidth="1"/>
    <col min="5641" max="5889" width="8.88671875" style="565"/>
    <col min="5890" max="5890" width="47.109375" style="565" customWidth="1"/>
    <col min="5891" max="5891" width="11.5546875" style="565" customWidth="1"/>
    <col min="5892" max="5892" width="10" style="565" customWidth="1"/>
    <col min="5893" max="5893" width="11.44140625" style="565" customWidth="1"/>
    <col min="5894" max="5894" width="11.6640625" style="565" customWidth="1"/>
    <col min="5895" max="5895" width="10.6640625" style="565" customWidth="1"/>
    <col min="5896" max="5896" width="9.6640625" style="565" customWidth="1"/>
    <col min="5897" max="6145" width="8.88671875" style="565"/>
    <col min="6146" max="6146" width="47.109375" style="565" customWidth="1"/>
    <col min="6147" max="6147" width="11.5546875" style="565" customWidth="1"/>
    <col min="6148" max="6148" width="10" style="565" customWidth="1"/>
    <col min="6149" max="6149" width="11.44140625" style="565" customWidth="1"/>
    <col min="6150" max="6150" width="11.6640625" style="565" customWidth="1"/>
    <col min="6151" max="6151" width="10.6640625" style="565" customWidth="1"/>
    <col min="6152" max="6152" width="9.6640625" style="565" customWidth="1"/>
    <col min="6153" max="6401" width="8.88671875" style="565"/>
    <col min="6402" max="6402" width="47.109375" style="565" customWidth="1"/>
    <col min="6403" max="6403" width="11.5546875" style="565" customWidth="1"/>
    <col min="6404" max="6404" width="10" style="565" customWidth="1"/>
    <col min="6405" max="6405" width="11.44140625" style="565" customWidth="1"/>
    <col min="6406" max="6406" width="11.6640625" style="565" customWidth="1"/>
    <col min="6407" max="6407" width="10.6640625" style="565" customWidth="1"/>
    <col min="6408" max="6408" width="9.6640625" style="565" customWidth="1"/>
    <col min="6409" max="6657" width="8.88671875" style="565"/>
    <col min="6658" max="6658" width="47.109375" style="565" customWidth="1"/>
    <col min="6659" max="6659" width="11.5546875" style="565" customWidth="1"/>
    <col min="6660" max="6660" width="10" style="565" customWidth="1"/>
    <col min="6661" max="6661" width="11.44140625" style="565" customWidth="1"/>
    <col min="6662" max="6662" width="11.6640625" style="565" customWidth="1"/>
    <col min="6663" max="6663" width="10.6640625" style="565" customWidth="1"/>
    <col min="6664" max="6664" width="9.6640625" style="565" customWidth="1"/>
    <col min="6665" max="6913" width="8.88671875" style="565"/>
    <col min="6914" max="6914" width="47.109375" style="565" customWidth="1"/>
    <col min="6915" max="6915" width="11.5546875" style="565" customWidth="1"/>
    <col min="6916" max="6916" width="10" style="565" customWidth="1"/>
    <col min="6917" max="6917" width="11.44140625" style="565" customWidth="1"/>
    <col min="6918" max="6918" width="11.6640625" style="565" customWidth="1"/>
    <col min="6919" max="6919" width="10.6640625" style="565" customWidth="1"/>
    <col min="6920" max="6920" width="9.6640625" style="565" customWidth="1"/>
    <col min="6921" max="7169" width="8.88671875" style="565"/>
    <col min="7170" max="7170" width="47.109375" style="565" customWidth="1"/>
    <col min="7171" max="7171" width="11.5546875" style="565" customWidth="1"/>
    <col min="7172" max="7172" width="10" style="565" customWidth="1"/>
    <col min="7173" max="7173" width="11.44140625" style="565" customWidth="1"/>
    <col min="7174" max="7174" width="11.6640625" style="565" customWidth="1"/>
    <col min="7175" max="7175" width="10.6640625" style="565" customWidth="1"/>
    <col min="7176" max="7176" width="9.6640625" style="565" customWidth="1"/>
    <col min="7177" max="7425" width="8.88671875" style="565"/>
    <col min="7426" max="7426" width="47.109375" style="565" customWidth="1"/>
    <col min="7427" max="7427" width="11.5546875" style="565" customWidth="1"/>
    <col min="7428" max="7428" width="10" style="565" customWidth="1"/>
    <col min="7429" max="7429" width="11.44140625" style="565" customWidth="1"/>
    <col min="7430" max="7430" width="11.6640625" style="565" customWidth="1"/>
    <col min="7431" max="7431" width="10.6640625" style="565" customWidth="1"/>
    <col min="7432" max="7432" width="9.6640625" style="565" customWidth="1"/>
    <col min="7433" max="7681" width="8.88671875" style="565"/>
    <col min="7682" max="7682" width="47.109375" style="565" customWidth="1"/>
    <col min="7683" max="7683" width="11.5546875" style="565" customWidth="1"/>
    <col min="7684" max="7684" width="10" style="565" customWidth="1"/>
    <col min="7685" max="7685" width="11.44140625" style="565" customWidth="1"/>
    <col min="7686" max="7686" width="11.6640625" style="565" customWidth="1"/>
    <col min="7687" max="7687" width="10.6640625" style="565" customWidth="1"/>
    <col min="7688" max="7688" width="9.6640625" style="565" customWidth="1"/>
    <col min="7689" max="7937" width="8.88671875" style="565"/>
    <col min="7938" max="7938" width="47.109375" style="565" customWidth="1"/>
    <col min="7939" max="7939" width="11.5546875" style="565" customWidth="1"/>
    <col min="7940" max="7940" width="10" style="565" customWidth="1"/>
    <col min="7941" max="7941" width="11.44140625" style="565" customWidth="1"/>
    <col min="7942" max="7942" width="11.6640625" style="565" customWidth="1"/>
    <col min="7943" max="7943" width="10.6640625" style="565" customWidth="1"/>
    <col min="7944" max="7944" width="9.6640625" style="565" customWidth="1"/>
    <col min="7945" max="8193" width="8.88671875" style="565"/>
    <col min="8194" max="8194" width="47.109375" style="565" customWidth="1"/>
    <col min="8195" max="8195" width="11.5546875" style="565" customWidth="1"/>
    <col min="8196" max="8196" width="10" style="565" customWidth="1"/>
    <col min="8197" max="8197" width="11.44140625" style="565" customWidth="1"/>
    <col min="8198" max="8198" width="11.6640625" style="565" customWidth="1"/>
    <col min="8199" max="8199" width="10.6640625" style="565" customWidth="1"/>
    <col min="8200" max="8200" width="9.6640625" style="565" customWidth="1"/>
    <col min="8201" max="8449" width="8.88671875" style="565"/>
    <col min="8450" max="8450" width="47.109375" style="565" customWidth="1"/>
    <col min="8451" max="8451" width="11.5546875" style="565" customWidth="1"/>
    <col min="8452" max="8452" width="10" style="565" customWidth="1"/>
    <col min="8453" max="8453" width="11.44140625" style="565" customWidth="1"/>
    <col min="8454" max="8454" width="11.6640625" style="565" customWidth="1"/>
    <col min="8455" max="8455" width="10.6640625" style="565" customWidth="1"/>
    <col min="8456" max="8456" width="9.6640625" style="565" customWidth="1"/>
    <col min="8457" max="8705" width="8.88671875" style="565"/>
    <col min="8706" max="8706" width="47.109375" style="565" customWidth="1"/>
    <col min="8707" max="8707" width="11.5546875" style="565" customWidth="1"/>
    <col min="8708" max="8708" width="10" style="565" customWidth="1"/>
    <col min="8709" max="8709" width="11.44140625" style="565" customWidth="1"/>
    <col min="8710" max="8710" width="11.6640625" style="565" customWidth="1"/>
    <col min="8711" max="8711" width="10.6640625" style="565" customWidth="1"/>
    <col min="8712" max="8712" width="9.6640625" style="565" customWidth="1"/>
    <col min="8713" max="8961" width="8.88671875" style="565"/>
    <col min="8962" max="8962" width="47.109375" style="565" customWidth="1"/>
    <col min="8963" max="8963" width="11.5546875" style="565" customWidth="1"/>
    <col min="8964" max="8964" width="10" style="565" customWidth="1"/>
    <col min="8965" max="8965" width="11.44140625" style="565" customWidth="1"/>
    <col min="8966" max="8966" width="11.6640625" style="565" customWidth="1"/>
    <col min="8967" max="8967" width="10.6640625" style="565" customWidth="1"/>
    <col min="8968" max="8968" width="9.6640625" style="565" customWidth="1"/>
    <col min="8969" max="9217" width="8.88671875" style="565"/>
    <col min="9218" max="9218" width="47.109375" style="565" customWidth="1"/>
    <col min="9219" max="9219" width="11.5546875" style="565" customWidth="1"/>
    <col min="9220" max="9220" width="10" style="565" customWidth="1"/>
    <col min="9221" max="9221" width="11.44140625" style="565" customWidth="1"/>
    <col min="9222" max="9222" width="11.6640625" style="565" customWidth="1"/>
    <col min="9223" max="9223" width="10.6640625" style="565" customWidth="1"/>
    <col min="9224" max="9224" width="9.6640625" style="565" customWidth="1"/>
    <col min="9225" max="9473" width="8.88671875" style="565"/>
    <col min="9474" max="9474" width="47.109375" style="565" customWidth="1"/>
    <col min="9475" max="9475" width="11.5546875" style="565" customWidth="1"/>
    <col min="9476" max="9476" width="10" style="565" customWidth="1"/>
    <col min="9477" max="9477" width="11.44140625" style="565" customWidth="1"/>
    <col min="9478" max="9478" width="11.6640625" style="565" customWidth="1"/>
    <col min="9479" max="9479" width="10.6640625" style="565" customWidth="1"/>
    <col min="9480" max="9480" width="9.6640625" style="565" customWidth="1"/>
    <col min="9481" max="9729" width="8.88671875" style="565"/>
    <col min="9730" max="9730" width="47.109375" style="565" customWidth="1"/>
    <col min="9731" max="9731" width="11.5546875" style="565" customWidth="1"/>
    <col min="9732" max="9732" width="10" style="565" customWidth="1"/>
    <col min="9733" max="9733" width="11.44140625" style="565" customWidth="1"/>
    <col min="9734" max="9734" width="11.6640625" style="565" customWidth="1"/>
    <col min="9735" max="9735" width="10.6640625" style="565" customWidth="1"/>
    <col min="9736" max="9736" width="9.6640625" style="565" customWidth="1"/>
    <col min="9737" max="9985" width="8.88671875" style="565"/>
    <col min="9986" max="9986" width="47.109375" style="565" customWidth="1"/>
    <col min="9987" max="9987" width="11.5546875" style="565" customWidth="1"/>
    <col min="9988" max="9988" width="10" style="565" customWidth="1"/>
    <col min="9989" max="9989" width="11.44140625" style="565" customWidth="1"/>
    <col min="9990" max="9990" width="11.6640625" style="565" customWidth="1"/>
    <col min="9991" max="9991" width="10.6640625" style="565" customWidth="1"/>
    <col min="9992" max="9992" width="9.6640625" style="565" customWidth="1"/>
    <col min="9993" max="10241" width="8.88671875" style="565"/>
    <col min="10242" max="10242" width="47.109375" style="565" customWidth="1"/>
    <col min="10243" max="10243" width="11.5546875" style="565" customWidth="1"/>
    <col min="10244" max="10244" width="10" style="565" customWidth="1"/>
    <col min="10245" max="10245" width="11.44140625" style="565" customWidth="1"/>
    <col min="10246" max="10246" width="11.6640625" style="565" customWidth="1"/>
    <col min="10247" max="10247" width="10.6640625" style="565" customWidth="1"/>
    <col min="10248" max="10248" width="9.6640625" style="565" customWidth="1"/>
    <col min="10249" max="10497" width="8.88671875" style="565"/>
    <col min="10498" max="10498" width="47.109375" style="565" customWidth="1"/>
    <col min="10499" max="10499" width="11.5546875" style="565" customWidth="1"/>
    <col min="10500" max="10500" width="10" style="565" customWidth="1"/>
    <col min="10501" max="10501" width="11.44140625" style="565" customWidth="1"/>
    <col min="10502" max="10502" width="11.6640625" style="565" customWidth="1"/>
    <col min="10503" max="10503" width="10.6640625" style="565" customWidth="1"/>
    <col min="10504" max="10504" width="9.6640625" style="565" customWidth="1"/>
    <col min="10505" max="10753" width="8.88671875" style="565"/>
    <col min="10754" max="10754" width="47.109375" style="565" customWidth="1"/>
    <col min="10755" max="10755" width="11.5546875" style="565" customWidth="1"/>
    <col min="10756" max="10756" width="10" style="565" customWidth="1"/>
    <col min="10757" max="10757" width="11.44140625" style="565" customWidth="1"/>
    <col min="10758" max="10758" width="11.6640625" style="565" customWidth="1"/>
    <col min="10759" max="10759" width="10.6640625" style="565" customWidth="1"/>
    <col min="10760" max="10760" width="9.6640625" style="565" customWidth="1"/>
    <col min="10761" max="11009" width="8.88671875" style="565"/>
    <col min="11010" max="11010" width="47.109375" style="565" customWidth="1"/>
    <col min="11011" max="11011" width="11.5546875" style="565" customWidth="1"/>
    <col min="11012" max="11012" width="10" style="565" customWidth="1"/>
    <col min="11013" max="11013" width="11.44140625" style="565" customWidth="1"/>
    <col min="11014" max="11014" width="11.6640625" style="565" customWidth="1"/>
    <col min="11015" max="11015" width="10.6640625" style="565" customWidth="1"/>
    <col min="11016" max="11016" width="9.6640625" style="565" customWidth="1"/>
    <col min="11017" max="11265" width="8.88671875" style="565"/>
    <col min="11266" max="11266" width="47.109375" style="565" customWidth="1"/>
    <col min="11267" max="11267" width="11.5546875" style="565" customWidth="1"/>
    <col min="11268" max="11268" width="10" style="565" customWidth="1"/>
    <col min="11269" max="11269" width="11.44140625" style="565" customWidth="1"/>
    <col min="11270" max="11270" width="11.6640625" style="565" customWidth="1"/>
    <col min="11271" max="11271" width="10.6640625" style="565" customWidth="1"/>
    <col min="11272" max="11272" width="9.6640625" style="565" customWidth="1"/>
    <col min="11273" max="11521" width="8.88671875" style="565"/>
    <col min="11522" max="11522" width="47.109375" style="565" customWidth="1"/>
    <col min="11523" max="11523" width="11.5546875" style="565" customWidth="1"/>
    <col min="11524" max="11524" width="10" style="565" customWidth="1"/>
    <col min="11525" max="11525" width="11.44140625" style="565" customWidth="1"/>
    <col min="11526" max="11526" width="11.6640625" style="565" customWidth="1"/>
    <col min="11527" max="11527" width="10.6640625" style="565" customWidth="1"/>
    <col min="11528" max="11528" width="9.6640625" style="565" customWidth="1"/>
    <col min="11529" max="11777" width="8.88671875" style="565"/>
    <col min="11778" max="11778" width="47.109375" style="565" customWidth="1"/>
    <col min="11779" max="11779" width="11.5546875" style="565" customWidth="1"/>
    <col min="11780" max="11780" width="10" style="565" customWidth="1"/>
    <col min="11781" max="11781" width="11.44140625" style="565" customWidth="1"/>
    <col min="11782" max="11782" width="11.6640625" style="565" customWidth="1"/>
    <col min="11783" max="11783" width="10.6640625" style="565" customWidth="1"/>
    <col min="11784" max="11784" width="9.6640625" style="565" customWidth="1"/>
    <col min="11785" max="12033" width="8.88671875" style="565"/>
    <col min="12034" max="12034" width="47.109375" style="565" customWidth="1"/>
    <col min="12035" max="12035" width="11.5546875" style="565" customWidth="1"/>
    <col min="12036" max="12036" width="10" style="565" customWidth="1"/>
    <col min="12037" max="12037" width="11.44140625" style="565" customWidth="1"/>
    <col min="12038" max="12038" width="11.6640625" style="565" customWidth="1"/>
    <col min="12039" max="12039" width="10.6640625" style="565" customWidth="1"/>
    <col min="12040" max="12040" width="9.6640625" style="565" customWidth="1"/>
    <col min="12041" max="12289" width="8.88671875" style="565"/>
    <col min="12290" max="12290" width="47.109375" style="565" customWidth="1"/>
    <col min="12291" max="12291" width="11.5546875" style="565" customWidth="1"/>
    <col min="12292" max="12292" width="10" style="565" customWidth="1"/>
    <col min="12293" max="12293" width="11.44140625" style="565" customWidth="1"/>
    <col min="12294" max="12294" width="11.6640625" style="565" customWidth="1"/>
    <col min="12295" max="12295" width="10.6640625" style="565" customWidth="1"/>
    <col min="12296" max="12296" width="9.6640625" style="565" customWidth="1"/>
    <col min="12297" max="12545" width="8.88671875" style="565"/>
    <col min="12546" max="12546" width="47.109375" style="565" customWidth="1"/>
    <col min="12547" max="12547" width="11.5546875" style="565" customWidth="1"/>
    <col min="12548" max="12548" width="10" style="565" customWidth="1"/>
    <col min="12549" max="12549" width="11.44140625" style="565" customWidth="1"/>
    <col min="12550" max="12550" width="11.6640625" style="565" customWidth="1"/>
    <col min="12551" max="12551" width="10.6640625" style="565" customWidth="1"/>
    <col min="12552" max="12552" width="9.6640625" style="565" customWidth="1"/>
    <col min="12553" max="12801" width="8.88671875" style="565"/>
    <col min="12802" max="12802" width="47.109375" style="565" customWidth="1"/>
    <col min="12803" max="12803" width="11.5546875" style="565" customWidth="1"/>
    <col min="12804" max="12804" width="10" style="565" customWidth="1"/>
    <col min="12805" max="12805" width="11.44140625" style="565" customWidth="1"/>
    <col min="12806" max="12806" width="11.6640625" style="565" customWidth="1"/>
    <col min="12807" max="12807" width="10.6640625" style="565" customWidth="1"/>
    <col min="12808" max="12808" width="9.6640625" style="565" customWidth="1"/>
    <col min="12809" max="13057" width="8.88671875" style="565"/>
    <col min="13058" max="13058" width="47.109375" style="565" customWidth="1"/>
    <col min="13059" max="13059" width="11.5546875" style="565" customWidth="1"/>
    <col min="13060" max="13060" width="10" style="565" customWidth="1"/>
    <col min="13061" max="13061" width="11.44140625" style="565" customWidth="1"/>
    <col min="13062" max="13062" width="11.6640625" style="565" customWidth="1"/>
    <col min="13063" max="13063" width="10.6640625" style="565" customWidth="1"/>
    <col min="13064" max="13064" width="9.6640625" style="565" customWidth="1"/>
    <col min="13065" max="13313" width="8.88671875" style="565"/>
    <col min="13314" max="13314" width="47.109375" style="565" customWidth="1"/>
    <col min="13315" max="13315" width="11.5546875" style="565" customWidth="1"/>
    <col min="13316" max="13316" width="10" style="565" customWidth="1"/>
    <col min="13317" max="13317" width="11.44140625" style="565" customWidth="1"/>
    <col min="13318" max="13318" width="11.6640625" style="565" customWidth="1"/>
    <col min="13319" max="13319" width="10.6640625" style="565" customWidth="1"/>
    <col min="13320" max="13320" width="9.6640625" style="565" customWidth="1"/>
    <col min="13321" max="13569" width="8.88671875" style="565"/>
    <col min="13570" max="13570" width="47.109375" style="565" customWidth="1"/>
    <col min="13571" max="13571" width="11.5546875" style="565" customWidth="1"/>
    <col min="13572" max="13572" width="10" style="565" customWidth="1"/>
    <col min="13573" max="13573" width="11.44140625" style="565" customWidth="1"/>
    <col min="13574" max="13574" width="11.6640625" style="565" customWidth="1"/>
    <col min="13575" max="13575" width="10.6640625" style="565" customWidth="1"/>
    <col min="13576" max="13576" width="9.6640625" style="565" customWidth="1"/>
    <col min="13577" max="13825" width="8.88671875" style="565"/>
    <col min="13826" max="13826" width="47.109375" style="565" customWidth="1"/>
    <col min="13827" max="13827" width="11.5546875" style="565" customWidth="1"/>
    <col min="13828" max="13828" width="10" style="565" customWidth="1"/>
    <col min="13829" max="13829" width="11.44140625" style="565" customWidth="1"/>
    <col min="13830" max="13830" width="11.6640625" style="565" customWidth="1"/>
    <col min="13831" max="13831" width="10.6640625" style="565" customWidth="1"/>
    <col min="13832" max="13832" width="9.6640625" style="565" customWidth="1"/>
    <col min="13833" max="14081" width="8.88671875" style="565"/>
    <col min="14082" max="14082" width="47.109375" style="565" customWidth="1"/>
    <col min="14083" max="14083" width="11.5546875" style="565" customWidth="1"/>
    <col min="14084" max="14084" width="10" style="565" customWidth="1"/>
    <col min="14085" max="14085" width="11.44140625" style="565" customWidth="1"/>
    <col min="14086" max="14086" width="11.6640625" style="565" customWidth="1"/>
    <col min="14087" max="14087" width="10.6640625" style="565" customWidth="1"/>
    <col min="14088" max="14088" width="9.6640625" style="565" customWidth="1"/>
    <col min="14089" max="14337" width="8.88671875" style="565"/>
    <col min="14338" max="14338" width="47.109375" style="565" customWidth="1"/>
    <col min="14339" max="14339" width="11.5546875" style="565" customWidth="1"/>
    <col min="14340" max="14340" width="10" style="565" customWidth="1"/>
    <col min="14341" max="14341" width="11.44140625" style="565" customWidth="1"/>
    <col min="14342" max="14342" width="11.6640625" style="565" customWidth="1"/>
    <col min="14343" max="14343" width="10.6640625" style="565" customWidth="1"/>
    <col min="14344" max="14344" width="9.6640625" style="565" customWidth="1"/>
    <col min="14345" max="14593" width="8.88671875" style="565"/>
    <col min="14594" max="14594" width="47.109375" style="565" customWidth="1"/>
    <col min="14595" max="14595" width="11.5546875" style="565" customWidth="1"/>
    <col min="14596" max="14596" width="10" style="565" customWidth="1"/>
    <col min="14597" max="14597" width="11.44140625" style="565" customWidth="1"/>
    <col min="14598" max="14598" width="11.6640625" style="565" customWidth="1"/>
    <col min="14599" max="14599" width="10.6640625" style="565" customWidth="1"/>
    <col min="14600" max="14600" width="9.6640625" style="565" customWidth="1"/>
    <col min="14601" max="14849" width="8.88671875" style="565"/>
    <col min="14850" max="14850" width="47.109375" style="565" customWidth="1"/>
    <col min="14851" max="14851" width="11.5546875" style="565" customWidth="1"/>
    <col min="14852" max="14852" width="10" style="565" customWidth="1"/>
    <col min="14853" max="14853" width="11.44140625" style="565" customWidth="1"/>
    <col min="14854" max="14854" width="11.6640625" style="565" customWidth="1"/>
    <col min="14855" max="14855" width="10.6640625" style="565" customWidth="1"/>
    <col min="14856" max="14856" width="9.6640625" style="565" customWidth="1"/>
    <col min="14857" max="15105" width="8.88671875" style="565"/>
    <col min="15106" max="15106" width="47.109375" style="565" customWidth="1"/>
    <col min="15107" max="15107" width="11.5546875" style="565" customWidth="1"/>
    <col min="15108" max="15108" width="10" style="565" customWidth="1"/>
    <col min="15109" max="15109" width="11.44140625" style="565" customWidth="1"/>
    <col min="15110" max="15110" width="11.6640625" style="565" customWidth="1"/>
    <col min="15111" max="15111" width="10.6640625" style="565" customWidth="1"/>
    <col min="15112" max="15112" width="9.6640625" style="565" customWidth="1"/>
    <col min="15113" max="15361" width="8.88671875" style="565"/>
    <col min="15362" max="15362" width="47.109375" style="565" customWidth="1"/>
    <col min="15363" max="15363" width="11.5546875" style="565" customWidth="1"/>
    <col min="15364" max="15364" width="10" style="565" customWidth="1"/>
    <col min="15365" max="15365" width="11.44140625" style="565" customWidth="1"/>
    <col min="15366" max="15366" width="11.6640625" style="565" customWidth="1"/>
    <col min="15367" max="15367" width="10.6640625" style="565" customWidth="1"/>
    <col min="15368" max="15368" width="9.6640625" style="565" customWidth="1"/>
    <col min="15369" max="15617" width="8.88671875" style="565"/>
    <col min="15618" max="15618" width="47.109375" style="565" customWidth="1"/>
    <col min="15619" max="15619" width="11.5546875" style="565" customWidth="1"/>
    <col min="15620" max="15620" width="10" style="565" customWidth="1"/>
    <col min="15621" max="15621" width="11.44140625" style="565" customWidth="1"/>
    <col min="15622" max="15622" width="11.6640625" style="565" customWidth="1"/>
    <col min="15623" max="15623" width="10.6640625" style="565" customWidth="1"/>
    <col min="15624" max="15624" width="9.6640625" style="565" customWidth="1"/>
    <col min="15625" max="15873" width="8.88671875" style="565"/>
    <col min="15874" max="15874" width="47.109375" style="565" customWidth="1"/>
    <col min="15875" max="15875" width="11.5546875" style="565" customWidth="1"/>
    <col min="15876" max="15876" width="10" style="565" customWidth="1"/>
    <col min="15877" max="15877" width="11.44140625" style="565" customWidth="1"/>
    <col min="15878" max="15878" width="11.6640625" style="565" customWidth="1"/>
    <col min="15879" max="15879" width="10.6640625" style="565" customWidth="1"/>
    <col min="15880" max="15880" width="9.6640625" style="565" customWidth="1"/>
    <col min="15881" max="16129" width="8.88671875" style="565"/>
    <col min="16130" max="16130" width="47.109375" style="565" customWidth="1"/>
    <col min="16131" max="16131" width="11.5546875" style="565" customWidth="1"/>
    <col min="16132" max="16132" width="10" style="565" customWidth="1"/>
    <col min="16133" max="16133" width="11.44140625" style="565" customWidth="1"/>
    <col min="16134" max="16134" width="11.6640625" style="565" customWidth="1"/>
    <col min="16135" max="16135" width="10.6640625" style="565" customWidth="1"/>
    <col min="16136" max="16136" width="9.6640625" style="565" customWidth="1"/>
    <col min="16137" max="16384" width="8.88671875" style="565"/>
  </cols>
  <sheetData>
    <row r="2" spans="2:8" x14ac:dyDescent="0.25">
      <c r="B2" s="213" t="s">
        <v>868</v>
      </c>
    </row>
    <row r="3" spans="2:8" x14ac:dyDescent="0.25">
      <c r="B3" s="834" t="s">
        <v>869</v>
      </c>
      <c r="C3" s="851">
        <v>43466</v>
      </c>
      <c r="D3" s="835"/>
      <c r="E3" s="835"/>
      <c r="F3" s="851">
        <v>43830</v>
      </c>
      <c r="G3" s="835"/>
      <c r="H3" s="835"/>
    </row>
    <row r="4" spans="2:8" x14ac:dyDescent="0.25">
      <c r="B4" s="835"/>
      <c r="C4" s="434" t="s">
        <v>870</v>
      </c>
      <c r="D4" s="434" t="s">
        <v>871</v>
      </c>
      <c r="E4" s="434" t="s">
        <v>872</v>
      </c>
      <c r="F4" s="434" t="s">
        <v>870</v>
      </c>
      <c r="G4" s="434" t="s">
        <v>871</v>
      </c>
      <c r="H4" s="434" t="s">
        <v>872</v>
      </c>
    </row>
    <row r="5" spans="2:8" x14ac:dyDescent="0.25">
      <c r="B5" s="191" t="s">
        <v>495</v>
      </c>
      <c r="C5" s="282">
        <f t="shared" ref="C5:H5" si="0">SUM(C6:C16)</f>
        <v>24599908</v>
      </c>
      <c r="D5" s="282">
        <f t="shared" si="0"/>
        <v>-1578159</v>
      </c>
      <c r="E5" s="654">
        <f t="shared" si="0"/>
        <v>23021749</v>
      </c>
      <c r="F5" s="654">
        <f t="shared" si="0"/>
        <v>27832382</v>
      </c>
      <c r="G5" s="654">
        <f t="shared" si="0"/>
        <v>-4369404</v>
      </c>
      <c r="H5" s="654">
        <f t="shared" si="0"/>
        <v>23462978</v>
      </c>
    </row>
    <row r="6" spans="2:8" x14ac:dyDescent="0.25">
      <c r="B6" s="376" t="s">
        <v>47</v>
      </c>
      <c r="C6" s="287">
        <v>1302874</v>
      </c>
      <c r="D6" s="655"/>
      <c r="E6" s="615">
        <f>C6+D6</f>
        <v>1302874</v>
      </c>
      <c r="F6" s="615">
        <v>1135466</v>
      </c>
      <c r="G6" s="615">
        <v>-10620</v>
      </c>
      <c r="H6" s="615">
        <f>F6+G6</f>
        <v>1124846</v>
      </c>
    </row>
    <row r="7" spans="2:8" x14ac:dyDescent="0.25">
      <c r="B7" s="376" t="s">
        <v>46</v>
      </c>
      <c r="C7" s="406">
        <v>18879368</v>
      </c>
      <c r="D7" s="655"/>
      <c r="E7" s="615">
        <f t="shared" ref="E7:E26" si="1">C7+D7</f>
        <v>18879368</v>
      </c>
      <c r="F7" s="616">
        <v>18501781</v>
      </c>
      <c r="G7" s="615">
        <v>-1468703</v>
      </c>
      <c r="H7" s="615">
        <f t="shared" ref="H7:H26" si="2">F7+G7</f>
        <v>17033078</v>
      </c>
    </row>
    <row r="8" spans="2:8" x14ac:dyDescent="0.25">
      <c r="B8" s="376" t="s">
        <v>794</v>
      </c>
      <c r="C8" s="406">
        <v>0</v>
      </c>
      <c r="D8" s="655"/>
      <c r="E8" s="615">
        <f t="shared" si="1"/>
        <v>0</v>
      </c>
      <c r="F8" s="616">
        <v>1597775</v>
      </c>
      <c r="G8" s="207"/>
      <c r="H8" s="615">
        <f t="shared" si="2"/>
        <v>1597775</v>
      </c>
    </row>
    <row r="9" spans="2:8" x14ac:dyDescent="0.25">
      <c r="B9" s="376" t="s">
        <v>527</v>
      </c>
      <c r="C9" s="406">
        <v>3687465</v>
      </c>
      <c r="D9" s="615">
        <f>-1622622</f>
        <v>-1622622</v>
      </c>
      <c r="E9" s="615">
        <f t="shared" si="1"/>
        <v>2064843</v>
      </c>
      <c r="F9" s="616">
        <v>5475706</v>
      </c>
      <c r="G9" s="615">
        <f>-3654315+323191</f>
        <v>-3331124</v>
      </c>
      <c r="H9" s="615">
        <f t="shared" si="2"/>
        <v>2144582</v>
      </c>
    </row>
    <row r="10" spans="2:8" hidden="1" x14ac:dyDescent="0.25">
      <c r="B10" s="376" t="s">
        <v>120</v>
      </c>
      <c r="C10" s="406">
        <v>0</v>
      </c>
      <c r="D10" s="615"/>
      <c r="E10" s="615">
        <f t="shared" si="1"/>
        <v>0</v>
      </c>
      <c r="F10" s="616">
        <v>0</v>
      </c>
      <c r="G10" s="207"/>
      <c r="H10" s="615">
        <f t="shared" si="2"/>
        <v>0</v>
      </c>
    </row>
    <row r="11" spans="2:8" x14ac:dyDescent="0.25">
      <c r="B11" s="322" t="s">
        <v>217</v>
      </c>
      <c r="C11" s="406">
        <v>0</v>
      </c>
      <c r="D11" s="615"/>
      <c r="E11" s="615">
        <f t="shared" si="1"/>
        <v>0</v>
      </c>
      <c r="F11" s="616">
        <v>207681</v>
      </c>
      <c r="G11" s="616">
        <v>191002</v>
      </c>
      <c r="H11" s="615">
        <f t="shared" si="2"/>
        <v>398683</v>
      </c>
    </row>
    <row r="12" spans="2:8" ht="20.399999999999999" x14ac:dyDescent="0.25">
      <c r="B12" s="376" t="s">
        <v>297</v>
      </c>
      <c r="C12" s="406">
        <v>5000</v>
      </c>
      <c r="D12" s="615"/>
      <c r="E12" s="615">
        <f t="shared" si="1"/>
        <v>5000</v>
      </c>
      <c r="F12" s="616">
        <v>0</v>
      </c>
      <c r="G12" s="207"/>
      <c r="H12" s="615">
        <f t="shared" si="2"/>
        <v>0</v>
      </c>
    </row>
    <row r="13" spans="2:8" x14ac:dyDescent="0.25">
      <c r="B13" s="376" t="s">
        <v>676</v>
      </c>
      <c r="C13" s="287">
        <v>0</v>
      </c>
      <c r="D13" s="615"/>
      <c r="E13" s="615">
        <f t="shared" si="1"/>
        <v>0</v>
      </c>
      <c r="F13" s="615">
        <v>0</v>
      </c>
      <c r="G13" s="615">
        <v>212778</v>
      </c>
      <c r="H13" s="615">
        <f t="shared" si="2"/>
        <v>212778</v>
      </c>
    </row>
    <row r="14" spans="2:8" x14ac:dyDescent="0.25">
      <c r="B14" s="376" t="s">
        <v>504</v>
      </c>
      <c r="C14" s="287">
        <v>274679</v>
      </c>
      <c r="D14" s="615"/>
      <c r="E14" s="615">
        <f t="shared" si="1"/>
        <v>274679</v>
      </c>
      <c r="F14" s="615">
        <v>146072</v>
      </c>
      <c r="G14" s="207"/>
      <c r="H14" s="615">
        <f t="shared" si="2"/>
        <v>146072</v>
      </c>
    </row>
    <row r="15" spans="2:8" x14ac:dyDescent="0.25">
      <c r="B15" s="376" t="s">
        <v>323</v>
      </c>
      <c r="C15" s="406">
        <v>450141</v>
      </c>
      <c r="D15" s="615">
        <v>44463</v>
      </c>
      <c r="E15" s="615">
        <f t="shared" si="1"/>
        <v>494604</v>
      </c>
      <c r="F15" s="616">
        <v>767613</v>
      </c>
      <c r="G15" s="616">
        <v>37263</v>
      </c>
      <c r="H15" s="615">
        <f t="shared" si="2"/>
        <v>804876</v>
      </c>
    </row>
    <row r="16" spans="2:8" x14ac:dyDescent="0.25">
      <c r="B16" s="376" t="s">
        <v>688</v>
      </c>
      <c r="C16" s="406">
        <v>381</v>
      </c>
      <c r="D16" s="615"/>
      <c r="E16" s="615">
        <f t="shared" si="1"/>
        <v>381</v>
      </c>
      <c r="F16" s="616">
        <v>288</v>
      </c>
      <c r="G16" s="207"/>
      <c r="H16" s="615">
        <f t="shared" si="2"/>
        <v>288</v>
      </c>
    </row>
    <row r="17" spans="2:8" x14ac:dyDescent="0.25">
      <c r="B17" s="191" t="s">
        <v>496</v>
      </c>
      <c r="C17" s="282">
        <f t="shared" ref="C17:H17" si="3">SUM(C18:C25)</f>
        <v>15532332</v>
      </c>
      <c r="D17" s="282">
        <f t="shared" si="3"/>
        <v>0</v>
      </c>
      <c r="E17" s="654">
        <f t="shared" si="3"/>
        <v>15532332</v>
      </c>
      <c r="F17" s="654">
        <f t="shared" si="3"/>
        <v>16287403</v>
      </c>
      <c r="G17" s="654">
        <f t="shared" si="3"/>
        <v>-282858</v>
      </c>
      <c r="H17" s="654">
        <f t="shared" si="3"/>
        <v>16004545</v>
      </c>
    </row>
    <row r="18" spans="2:8" x14ac:dyDescent="0.25">
      <c r="B18" s="376" t="s">
        <v>486</v>
      </c>
      <c r="C18" s="287">
        <v>74920</v>
      </c>
      <c r="D18" s="655"/>
      <c r="E18" s="615">
        <f t="shared" si="1"/>
        <v>74920</v>
      </c>
      <c r="F18" s="615">
        <v>262</v>
      </c>
      <c r="G18" s="207"/>
      <c r="H18" s="615">
        <f t="shared" si="2"/>
        <v>262</v>
      </c>
    </row>
    <row r="19" spans="2:8" x14ac:dyDescent="0.25">
      <c r="B19" s="376" t="s">
        <v>324</v>
      </c>
      <c r="C19" s="406">
        <v>11404054</v>
      </c>
      <c r="D19" s="655"/>
      <c r="E19" s="615">
        <f t="shared" si="1"/>
        <v>11404054</v>
      </c>
      <c r="F19" s="616">
        <v>11422312</v>
      </c>
      <c r="G19" s="616">
        <v>-194634</v>
      </c>
      <c r="H19" s="615">
        <f t="shared" si="2"/>
        <v>11227678</v>
      </c>
    </row>
    <row r="20" spans="2:8" x14ac:dyDescent="0.25">
      <c r="B20" s="322" t="s">
        <v>407</v>
      </c>
      <c r="C20" s="406">
        <v>515839</v>
      </c>
      <c r="D20" s="655"/>
      <c r="E20" s="615">
        <f t="shared" si="1"/>
        <v>515839</v>
      </c>
      <c r="F20" s="616">
        <v>350911</v>
      </c>
      <c r="G20" s="207"/>
      <c r="H20" s="615">
        <f t="shared" si="2"/>
        <v>350911</v>
      </c>
    </row>
    <row r="21" spans="2:8" x14ac:dyDescent="0.25">
      <c r="B21" s="376" t="s">
        <v>114</v>
      </c>
      <c r="C21" s="406">
        <v>885627</v>
      </c>
      <c r="D21" s="655"/>
      <c r="E21" s="615">
        <f t="shared" si="1"/>
        <v>885627</v>
      </c>
      <c r="F21" s="616">
        <v>988926</v>
      </c>
      <c r="G21" s="616">
        <v>-4110</v>
      </c>
      <c r="H21" s="615">
        <f t="shared" si="2"/>
        <v>984816</v>
      </c>
    </row>
    <row r="22" spans="2:8" x14ac:dyDescent="0.25">
      <c r="B22" s="376" t="s">
        <v>593</v>
      </c>
      <c r="C22" s="287">
        <v>262592</v>
      </c>
      <c r="D22" s="655"/>
      <c r="E22" s="615">
        <f t="shared" si="1"/>
        <v>262592</v>
      </c>
      <c r="F22" s="615">
        <v>0</v>
      </c>
      <c r="G22" s="207"/>
      <c r="H22" s="615">
        <f t="shared" si="2"/>
        <v>0</v>
      </c>
    </row>
    <row r="23" spans="2:8" hidden="1" x14ac:dyDescent="0.25">
      <c r="B23" s="376" t="s">
        <v>113</v>
      </c>
      <c r="C23" s="406">
        <v>0</v>
      </c>
      <c r="D23" s="655"/>
      <c r="E23" s="615">
        <f t="shared" si="1"/>
        <v>0</v>
      </c>
      <c r="F23" s="616">
        <v>0</v>
      </c>
      <c r="G23" s="207"/>
      <c r="H23" s="615">
        <f t="shared" si="2"/>
        <v>0</v>
      </c>
    </row>
    <row r="24" spans="2:8" x14ac:dyDescent="0.25">
      <c r="B24" s="376" t="s">
        <v>322</v>
      </c>
      <c r="C24" s="406">
        <v>122189</v>
      </c>
      <c r="D24" s="655"/>
      <c r="E24" s="615">
        <f t="shared" si="1"/>
        <v>122189</v>
      </c>
      <c r="F24" s="616">
        <v>201876</v>
      </c>
      <c r="G24" s="616">
        <v>-490</v>
      </c>
      <c r="H24" s="615">
        <f t="shared" si="2"/>
        <v>201386</v>
      </c>
    </row>
    <row r="25" spans="2:8" x14ac:dyDescent="0.25">
      <c r="B25" s="376" t="s">
        <v>325</v>
      </c>
      <c r="C25" s="406">
        <v>2267111</v>
      </c>
      <c r="D25" s="655"/>
      <c r="E25" s="615">
        <f t="shared" si="1"/>
        <v>2267111</v>
      </c>
      <c r="F25" s="616">
        <v>3323116</v>
      </c>
      <c r="G25" s="616">
        <v>-83624</v>
      </c>
      <c r="H25" s="615">
        <f t="shared" si="2"/>
        <v>3239492</v>
      </c>
    </row>
    <row r="26" spans="2:8" hidden="1" x14ac:dyDescent="0.25">
      <c r="B26" s="53" t="s">
        <v>283</v>
      </c>
      <c r="C26" s="287">
        <v>0</v>
      </c>
      <c r="D26" s="655"/>
      <c r="E26" s="615">
        <f t="shared" si="1"/>
        <v>0</v>
      </c>
      <c r="F26" s="616">
        <v>0</v>
      </c>
      <c r="G26" s="207"/>
      <c r="H26" s="615">
        <f t="shared" si="2"/>
        <v>0</v>
      </c>
    </row>
    <row r="27" spans="2:8" x14ac:dyDescent="0.25">
      <c r="B27" s="191" t="s">
        <v>326</v>
      </c>
      <c r="C27" s="282">
        <f t="shared" ref="C27:H27" si="4">SUM(C5,C17,C26)</f>
        <v>40132240</v>
      </c>
      <c r="D27" s="282">
        <f t="shared" si="4"/>
        <v>-1578159</v>
      </c>
      <c r="E27" s="282">
        <f t="shared" si="4"/>
        <v>38554081</v>
      </c>
      <c r="F27" s="282">
        <f t="shared" si="4"/>
        <v>44119785</v>
      </c>
      <c r="G27" s="282">
        <f t="shared" si="4"/>
        <v>-4652262</v>
      </c>
      <c r="H27" s="282">
        <f t="shared" si="4"/>
        <v>39467523</v>
      </c>
    </row>
    <row r="29" spans="2:8" x14ac:dyDescent="0.25">
      <c r="B29" s="834" t="s">
        <v>873</v>
      </c>
      <c r="C29" s="851">
        <v>43466</v>
      </c>
      <c r="D29" s="835"/>
      <c r="E29" s="835"/>
      <c r="F29" s="851">
        <v>43830</v>
      </c>
      <c r="G29" s="835"/>
      <c r="H29" s="835"/>
    </row>
    <row r="30" spans="2:8" x14ac:dyDescent="0.25">
      <c r="B30" s="835"/>
      <c r="C30" s="434" t="s">
        <v>870</v>
      </c>
      <c r="D30" s="434" t="s">
        <v>871</v>
      </c>
      <c r="E30" s="434" t="s">
        <v>872</v>
      </c>
      <c r="F30" s="434" t="s">
        <v>870</v>
      </c>
      <c r="G30" s="434" t="s">
        <v>871</v>
      </c>
      <c r="H30" s="434" t="s">
        <v>872</v>
      </c>
    </row>
    <row r="31" spans="2:8" x14ac:dyDescent="0.25">
      <c r="B31" s="191" t="s">
        <v>410</v>
      </c>
      <c r="C31" s="282">
        <f t="shared" ref="C31:H31" si="5">C32+C40</f>
        <v>25821513</v>
      </c>
      <c r="D31" s="282">
        <f t="shared" si="5"/>
        <v>-2736521</v>
      </c>
      <c r="E31" s="656">
        <f t="shared" si="5"/>
        <v>23084992</v>
      </c>
      <c r="F31" s="654">
        <f t="shared" si="5"/>
        <v>28041707</v>
      </c>
      <c r="G31" s="654">
        <f t="shared" si="5"/>
        <v>-5415532</v>
      </c>
      <c r="H31" s="656">
        <f t="shared" si="5"/>
        <v>22626175</v>
      </c>
    </row>
    <row r="32" spans="2:8" x14ac:dyDescent="0.25">
      <c r="B32" s="451" t="s">
        <v>408</v>
      </c>
      <c r="C32" s="286">
        <f t="shared" ref="C32:H32" si="6">SUM(C33:C39)</f>
        <v>24687557</v>
      </c>
      <c r="D32" s="286">
        <f t="shared" si="6"/>
        <v>-2736521</v>
      </c>
      <c r="E32" s="657">
        <f t="shared" si="6"/>
        <v>21951036</v>
      </c>
      <c r="F32" s="617">
        <f t="shared" si="6"/>
        <v>28003356</v>
      </c>
      <c r="G32" s="617">
        <f t="shared" si="6"/>
        <v>-5415532</v>
      </c>
      <c r="H32" s="657">
        <f t="shared" si="6"/>
        <v>22587824</v>
      </c>
    </row>
    <row r="33" spans="2:8" x14ac:dyDescent="0.25">
      <c r="B33" s="376" t="s">
        <v>334</v>
      </c>
      <c r="C33" s="287">
        <v>229155</v>
      </c>
      <c r="D33" s="655"/>
      <c r="E33" s="652">
        <f>C33+D33</f>
        <v>229155</v>
      </c>
      <c r="F33" s="652">
        <v>248578</v>
      </c>
      <c r="G33" s="322"/>
      <c r="H33" s="615">
        <f t="shared" ref="H33:H39" si="7">F33+G33</f>
        <v>248578</v>
      </c>
    </row>
    <row r="34" spans="2:8" hidden="1" x14ac:dyDescent="0.25">
      <c r="B34" s="376" t="s">
        <v>409</v>
      </c>
      <c r="C34" s="287">
        <v>0</v>
      </c>
      <c r="D34" s="655"/>
      <c r="E34" s="652">
        <f t="shared" ref="E34:E39" si="8">C34+D34</f>
        <v>0</v>
      </c>
      <c r="F34" s="653">
        <v>0</v>
      </c>
      <c r="G34" s="322"/>
      <c r="H34" s="615">
        <f t="shared" si="7"/>
        <v>0</v>
      </c>
    </row>
    <row r="35" spans="2:8" hidden="1" x14ac:dyDescent="0.25">
      <c r="B35" s="376" t="s">
        <v>298</v>
      </c>
      <c r="C35" s="406">
        <v>0</v>
      </c>
      <c r="D35" s="655"/>
      <c r="E35" s="652">
        <f t="shared" si="8"/>
        <v>0</v>
      </c>
      <c r="F35" s="653">
        <v>0</v>
      </c>
      <c r="G35" s="322"/>
      <c r="H35" s="615">
        <f t="shared" si="7"/>
        <v>0</v>
      </c>
    </row>
    <row r="36" spans="2:8" x14ac:dyDescent="0.25">
      <c r="B36" s="376" t="s">
        <v>335</v>
      </c>
      <c r="C36" s="406">
        <v>24071786</v>
      </c>
      <c r="D36" s="655"/>
      <c r="E36" s="652">
        <f t="shared" si="8"/>
        <v>24071786</v>
      </c>
      <c r="F36" s="653">
        <v>28364867</v>
      </c>
      <c r="G36" s="653">
        <v>-200000</v>
      </c>
      <c r="H36" s="615">
        <f t="shared" si="7"/>
        <v>28164867</v>
      </c>
    </row>
    <row r="37" spans="2:8" x14ac:dyDescent="0.25">
      <c r="B37" s="452" t="s">
        <v>838</v>
      </c>
      <c r="C37" s="406">
        <v>0</v>
      </c>
      <c r="D37" s="655"/>
      <c r="E37" s="652">
        <f t="shared" si="8"/>
        <v>0</v>
      </c>
      <c r="F37" s="653">
        <v>-27952</v>
      </c>
      <c r="G37" s="653">
        <v>27952</v>
      </c>
      <c r="H37" s="615">
        <f t="shared" si="7"/>
        <v>0</v>
      </c>
    </row>
    <row r="38" spans="2:8" x14ac:dyDescent="0.25">
      <c r="B38" s="376" t="s">
        <v>115</v>
      </c>
      <c r="C38" s="287">
        <v>-50175</v>
      </c>
      <c r="D38" s="287">
        <v>-2736521</v>
      </c>
      <c r="E38" s="652">
        <f t="shared" si="8"/>
        <v>-2786696</v>
      </c>
      <c r="F38" s="652">
        <v>0</v>
      </c>
      <c r="G38" s="652">
        <v>-4524762</v>
      </c>
      <c r="H38" s="615">
        <f t="shared" si="7"/>
        <v>-4524762</v>
      </c>
    </row>
    <row r="39" spans="2:8" x14ac:dyDescent="0.25">
      <c r="B39" s="376" t="s">
        <v>116</v>
      </c>
      <c r="C39" s="406">
        <v>436791</v>
      </c>
      <c r="D39" s="655"/>
      <c r="E39" s="652">
        <f t="shared" si="8"/>
        <v>436791</v>
      </c>
      <c r="F39" s="653">
        <v>-582137</v>
      </c>
      <c r="G39" s="653">
        <f>-1041913+323191</f>
        <v>-718722</v>
      </c>
      <c r="H39" s="615">
        <f t="shared" si="7"/>
        <v>-1300859</v>
      </c>
    </row>
    <row r="40" spans="2:8" x14ac:dyDescent="0.25">
      <c r="B40" s="451" t="s">
        <v>534</v>
      </c>
      <c r="C40" s="288">
        <v>1133956</v>
      </c>
      <c r="D40" s="288"/>
      <c r="E40" s="658">
        <f>C40+D40</f>
        <v>1133956</v>
      </c>
      <c r="F40" s="658">
        <v>38351</v>
      </c>
      <c r="G40" s="658"/>
      <c r="H40" s="658">
        <f>F40+G40</f>
        <v>38351</v>
      </c>
    </row>
    <row r="41" spans="2:8" x14ac:dyDescent="0.25">
      <c r="B41" s="191" t="s">
        <v>411</v>
      </c>
      <c r="C41" s="282">
        <f t="shared" ref="C41:H41" si="9">SUM(C42:C48)</f>
        <v>1413453</v>
      </c>
      <c r="D41" s="282">
        <f t="shared" si="9"/>
        <v>924344</v>
      </c>
      <c r="E41" s="656">
        <f t="shared" si="9"/>
        <v>2337797</v>
      </c>
      <c r="F41" s="656">
        <f t="shared" si="9"/>
        <v>2871793</v>
      </c>
      <c r="G41" s="656">
        <f t="shared" si="9"/>
        <v>863630</v>
      </c>
      <c r="H41" s="656">
        <f t="shared" si="9"/>
        <v>3735423</v>
      </c>
    </row>
    <row r="42" spans="2:8" x14ac:dyDescent="0.25">
      <c r="B42" s="376" t="s">
        <v>48</v>
      </c>
      <c r="C42" s="287">
        <v>0</v>
      </c>
      <c r="D42" s="655"/>
      <c r="E42" s="652">
        <f t="shared" ref="E42:E48" si="10">C42+D42</f>
        <v>0</v>
      </c>
      <c r="F42" s="652">
        <v>705000</v>
      </c>
      <c r="G42" s="207"/>
      <c r="H42" s="615">
        <f t="shared" ref="H42:H48" si="11">F42+G42</f>
        <v>705000</v>
      </c>
    </row>
    <row r="43" spans="2:8" x14ac:dyDescent="0.25">
      <c r="B43" s="376" t="s">
        <v>136</v>
      </c>
      <c r="C43" s="406">
        <v>126053</v>
      </c>
      <c r="D43" s="287">
        <v>924344</v>
      </c>
      <c r="E43" s="652">
        <f t="shared" si="10"/>
        <v>1050397</v>
      </c>
      <c r="F43" s="653">
        <v>787325</v>
      </c>
      <c r="G43" s="653">
        <v>924344</v>
      </c>
      <c r="H43" s="615">
        <f t="shared" si="11"/>
        <v>1711669</v>
      </c>
    </row>
    <row r="44" spans="2:8" hidden="1" x14ac:dyDescent="0.25">
      <c r="B44" s="376" t="s">
        <v>218</v>
      </c>
      <c r="C44" s="406">
        <v>0</v>
      </c>
      <c r="D44" s="287"/>
      <c r="E44" s="652">
        <f t="shared" si="10"/>
        <v>0</v>
      </c>
      <c r="F44" s="653">
        <v>0</v>
      </c>
      <c r="G44" s="653"/>
      <c r="H44" s="615">
        <f t="shared" si="11"/>
        <v>0</v>
      </c>
    </row>
    <row r="45" spans="2:8" x14ac:dyDescent="0.25">
      <c r="B45" s="376" t="s">
        <v>137</v>
      </c>
      <c r="C45" s="406">
        <v>1287400</v>
      </c>
      <c r="D45" s="655"/>
      <c r="E45" s="652">
        <f t="shared" si="10"/>
        <v>1287400</v>
      </c>
      <c r="F45" s="653">
        <v>1379468</v>
      </c>
      <c r="G45" s="653">
        <v>-60714</v>
      </c>
      <c r="H45" s="615">
        <f t="shared" si="11"/>
        <v>1318754</v>
      </c>
    </row>
    <row r="46" spans="2:8" hidden="1" x14ac:dyDescent="0.25">
      <c r="B46" s="376" t="s">
        <v>446</v>
      </c>
      <c r="C46" s="287">
        <v>0</v>
      </c>
      <c r="D46" s="655"/>
      <c r="E46" s="652">
        <f t="shared" si="10"/>
        <v>0</v>
      </c>
      <c r="F46" s="652">
        <v>0</v>
      </c>
      <c r="G46" s="207"/>
      <c r="H46" s="615">
        <f t="shared" si="11"/>
        <v>0</v>
      </c>
    </row>
    <row r="47" spans="2:8" hidden="1" x14ac:dyDescent="0.25">
      <c r="B47" s="376" t="s">
        <v>336</v>
      </c>
      <c r="C47" s="287">
        <v>0</v>
      </c>
      <c r="D47" s="655"/>
      <c r="E47" s="652">
        <f t="shared" si="10"/>
        <v>0</v>
      </c>
      <c r="F47" s="652">
        <v>0</v>
      </c>
      <c r="G47" s="207"/>
      <c r="H47" s="615">
        <f t="shared" si="11"/>
        <v>0</v>
      </c>
    </row>
    <row r="48" spans="2:8" hidden="1" x14ac:dyDescent="0.25">
      <c r="B48" s="376" t="s">
        <v>294</v>
      </c>
      <c r="C48" s="287">
        <v>0</v>
      </c>
      <c r="D48" s="655"/>
      <c r="E48" s="652">
        <f t="shared" si="10"/>
        <v>0</v>
      </c>
      <c r="F48" s="652">
        <v>0</v>
      </c>
      <c r="G48" s="207"/>
      <c r="H48" s="615">
        <f t="shared" si="11"/>
        <v>0</v>
      </c>
    </row>
    <row r="49" spans="2:8" x14ac:dyDescent="0.25">
      <c r="B49" s="191" t="s">
        <v>313</v>
      </c>
      <c r="C49" s="282">
        <f t="shared" ref="C49:H49" si="12">SUM(C50:C58)</f>
        <v>12897274</v>
      </c>
      <c r="D49" s="282">
        <f t="shared" si="12"/>
        <v>234018</v>
      </c>
      <c r="E49" s="656">
        <f t="shared" si="12"/>
        <v>13131292</v>
      </c>
      <c r="F49" s="654">
        <f t="shared" si="12"/>
        <v>13206285</v>
      </c>
      <c r="G49" s="654">
        <f t="shared" si="12"/>
        <v>-100360</v>
      </c>
      <c r="H49" s="656">
        <f t="shared" si="12"/>
        <v>13105925</v>
      </c>
    </row>
    <row r="50" spans="2:8" x14ac:dyDescent="0.25">
      <c r="B50" s="376" t="s">
        <v>48</v>
      </c>
      <c r="C50" s="287">
        <v>1393800</v>
      </c>
      <c r="D50" s="655"/>
      <c r="E50" s="652">
        <f t="shared" ref="E50:E58" si="13">C50+D50</f>
        <v>1393800</v>
      </c>
      <c r="F50" s="652">
        <v>2250460</v>
      </c>
      <c r="G50" s="207"/>
      <c r="H50" s="615">
        <f t="shared" ref="H50:H58" si="14">F50+G50</f>
        <v>2250460</v>
      </c>
    </row>
    <row r="51" spans="2:8" x14ac:dyDescent="0.25">
      <c r="B51" s="376" t="s">
        <v>136</v>
      </c>
      <c r="C51" s="287">
        <v>110125</v>
      </c>
      <c r="D51" s="655"/>
      <c r="E51" s="652">
        <f t="shared" si="13"/>
        <v>110125</v>
      </c>
      <c r="F51" s="652">
        <v>781096</v>
      </c>
      <c r="G51" s="207"/>
      <c r="H51" s="615">
        <f t="shared" si="14"/>
        <v>781096</v>
      </c>
    </row>
    <row r="52" spans="2:8" x14ac:dyDescent="0.25">
      <c r="B52" s="376" t="s">
        <v>337</v>
      </c>
      <c r="C52" s="406">
        <v>7476785</v>
      </c>
      <c r="D52" s="655"/>
      <c r="E52" s="652">
        <f t="shared" si="13"/>
        <v>7476785</v>
      </c>
      <c r="F52" s="652">
        <v>6864024</v>
      </c>
      <c r="G52" s="652">
        <v>-229320</v>
      </c>
      <c r="H52" s="615">
        <f t="shared" si="14"/>
        <v>6634704</v>
      </c>
    </row>
    <row r="53" spans="2:8" x14ac:dyDescent="0.25">
      <c r="B53" s="452" t="s">
        <v>412</v>
      </c>
      <c r="C53" s="406">
        <v>0</v>
      </c>
      <c r="D53" s="655"/>
      <c r="E53" s="652">
        <f t="shared" si="13"/>
        <v>0</v>
      </c>
      <c r="F53" s="652">
        <v>4864</v>
      </c>
      <c r="G53" s="207"/>
      <c r="H53" s="615">
        <f t="shared" si="14"/>
        <v>4864</v>
      </c>
    </row>
    <row r="54" spans="2:8" x14ac:dyDescent="0.25">
      <c r="B54" s="376" t="s">
        <v>481</v>
      </c>
      <c r="C54" s="406">
        <v>3122868</v>
      </c>
      <c r="D54" s="655"/>
      <c r="E54" s="652">
        <f t="shared" si="13"/>
        <v>3122868</v>
      </c>
      <c r="F54" s="652">
        <v>2062433</v>
      </c>
      <c r="G54" s="652">
        <v>-96239</v>
      </c>
      <c r="H54" s="615">
        <f t="shared" si="14"/>
        <v>1966194</v>
      </c>
    </row>
    <row r="55" spans="2:8" x14ac:dyDescent="0.25">
      <c r="B55" s="376" t="s">
        <v>616</v>
      </c>
      <c r="C55" s="406">
        <v>507954</v>
      </c>
      <c r="D55" s="655"/>
      <c r="E55" s="652">
        <f t="shared" si="13"/>
        <v>507954</v>
      </c>
      <c r="F55" s="652">
        <v>832242</v>
      </c>
      <c r="G55" s="207"/>
      <c r="H55" s="615">
        <f t="shared" si="14"/>
        <v>832242</v>
      </c>
    </row>
    <row r="56" spans="2:8" x14ac:dyDescent="0.25">
      <c r="B56" s="376" t="s">
        <v>336</v>
      </c>
      <c r="C56" s="406">
        <v>148017</v>
      </c>
      <c r="D56" s="287">
        <v>234018</v>
      </c>
      <c r="E56" s="652">
        <f t="shared" si="13"/>
        <v>382035</v>
      </c>
      <c r="F56" s="652">
        <v>236811</v>
      </c>
      <c r="G56" s="652">
        <v>225199</v>
      </c>
      <c r="H56" s="615">
        <f t="shared" si="14"/>
        <v>462010</v>
      </c>
    </row>
    <row r="57" spans="2:8" x14ac:dyDescent="0.25">
      <c r="B57" s="376" t="s">
        <v>294</v>
      </c>
      <c r="C57" s="406">
        <v>88000</v>
      </c>
      <c r="D57" s="655"/>
      <c r="E57" s="652">
        <f t="shared" si="13"/>
        <v>88000</v>
      </c>
      <c r="F57" s="652">
        <v>174355</v>
      </c>
      <c r="G57" s="322"/>
      <c r="H57" s="615">
        <f t="shared" si="14"/>
        <v>174355</v>
      </c>
    </row>
    <row r="58" spans="2:8" x14ac:dyDescent="0.25">
      <c r="B58" s="376" t="s">
        <v>690</v>
      </c>
      <c r="C58" s="287">
        <v>49725</v>
      </c>
      <c r="D58" s="655"/>
      <c r="E58" s="652">
        <f t="shared" si="13"/>
        <v>49725</v>
      </c>
      <c r="F58" s="615">
        <v>0</v>
      </c>
      <c r="G58" s="322"/>
      <c r="H58" s="615">
        <f t="shared" si="14"/>
        <v>0</v>
      </c>
    </row>
    <row r="59" spans="2:8" x14ac:dyDescent="0.25">
      <c r="B59" s="191" t="s">
        <v>338</v>
      </c>
      <c r="C59" s="282">
        <f>SUM(C31,C41,C49)</f>
        <v>40132240</v>
      </c>
      <c r="D59" s="282">
        <f>SUM(D31,D41,D49)</f>
        <v>-1578159</v>
      </c>
      <c r="E59" s="656">
        <f>SUM(E31,E41,E49)</f>
        <v>38554081</v>
      </c>
      <c r="F59" s="654">
        <f>F31+F41+F49</f>
        <v>44119785</v>
      </c>
      <c r="G59" s="654">
        <f>G31+G41+G49</f>
        <v>-4652262</v>
      </c>
      <c r="H59" s="656">
        <f>H31+H41+H49</f>
        <v>39467523</v>
      </c>
    </row>
    <row r="62" spans="2:8" x14ac:dyDescent="0.25">
      <c r="B62" s="834" t="s">
        <v>874</v>
      </c>
      <c r="C62" s="851">
        <v>43830</v>
      </c>
      <c r="D62" s="835"/>
      <c r="E62" s="835"/>
    </row>
    <row r="63" spans="2:8" x14ac:dyDescent="0.25">
      <c r="B63" s="835"/>
      <c r="C63" s="434" t="s">
        <v>870</v>
      </c>
      <c r="D63" s="434" t="s">
        <v>871</v>
      </c>
      <c r="E63" s="434" t="s">
        <v>872</v>
      </c>
    </row>
    <row r="64" spans="2:8" x14ac:dyDescent="0.25">
      <c r="B64" s="659" t="s">
        <v>282</v>
      </c>
      <c r="C64" s="654">
        <f>SUM(C65:C67)</f>
        <v>56992354</v>
      </c>
      <c r="D64" s="654">
        <f>SUM(D65:D67)</f>
        <v>1310152</v>
      </c>
      <c r="E64" s="654">
        <f>SUM(E65:E67)</f>
        <v>58302506</v>
      </c>
    </row>
    <row r="65" spans="2:5" hidden="1" x14ac:dyDescent="0.25">
      <c r="B65" s="660" t="s">
        <v>110</v>
      </c>
      <c r="C65" s="616">
        <v>0</v>
      </c>
      <c r="D65" s="322"/>
      <c r="E65" s="616">
        <f>C65+D65</f>
        <v>0</v>
      </c>
    </row>
    <row r="66" spans="2:5" x14ac:dyDescent="0.25">
      <c r="B66" s="660" t="s">
        <v>109</v>
      </c>
      <c r="C66" s="616">
        <v>56934291</v>
      </c>
      <c r="D66" s="652">
        <v>1310152</v>
      </c>
      <c r="E66" s="616">
        <f t="shared" ref="E66:E88" si="15">C66+D66</f>
        <v>58244443</v>
      </c>
    </row>
    <row r="67" spans="2:5" x14ac:dyDescent="0.25">
      <c r="B67" s="660" t="s">
        <v>111</v>
      </c>
      <c r="C67" s="616">
        <v>58063</v>
      </c>
      <c r="D67" s="322"/>
      <c r="E67" s="616">
        <f t="shared" si="15"/>
        <v>58063</v>
      </c>
    </row>
    <row r="68" spans="2:5" x14ac:dyDescent="0.25">
      <c r="B68" s="659" t="s">
        <v>875</v>
      </c>
      <c r="C68" s="661">
        <f>SUM(C69:C76)</f>
        <v>57748112</v>
      </c>
      <c r="D68" s="661">
        <f>SUM(D69:D76)</f>
        <v>1307213</v>
      </c>
      <c r="E68" s="661">
        <f>SUM(E69:E76)</f>
        <v>59055325</v>
      </c>
    </row>
    <row r="69" spans="2:5" x14ac:dyDescent="0.25">
      <c r="B69" s="641" t="s">
        <v>30</v>
      </c>
      <c r="C69" s="616">
        <v>4175039</v>
      </c>
      <c r="D69" s="322"/>
      <c r="E69" s="616">
        <f t="shared" si="15"/>
        <v>4175039</v>
      </c>
    </row>
    <row r="70" spans="2:5" x14ac:dyDescent="0.25">
      <c r="B70" s="641" t="s">
        <v>31</v>
      </c>
      <c r="C70" s="616">
        <v>651742</v>
      </c>
      <c r="D70" s="322"/>
      <c r="E70" s="616">
        <f t="shared" si="15"/>
        <v>651742</v>
      </c>
    </row>
    <row r="71" spans="2:5" x14ac:dyDescent="0.25">
      <c r="B71" s="641" t="s">
        <v>32</v>
      </c>
      <c r="C71" s="616">
        <v>34815429</v>
      </c>
      <c r="D71" s="652">
        <v>874649</v>
      </c>
      <c r="E71" s="616">
        <f t="shared" si="15"/>
        <v>35690078</v>
      </c>
    </row>
    <row r="72" spans="2:5" x14ac:dyDescent="0.25">
      <c r="B72" s="641" t="s">
        <v>33</v>
      </c>
      <c r="C72" s="616">
        <v>240789</v>
      </c>
      <c r="D72" s="322"/>
      <c r="E72" s="616">
        <f t="shared" si="15"/>
        <v>240789</v>
      </c>
    </row>
    <row r="73" spans="2:5" x14ac:dyDescent="0.25">
      <c r="B73" s="641" t="s">
        <v>39</v>
      </c>
      <c r="C73" s="616">
        <v>13915524</v>
      </c>
      <c r="D73" s="652">
        <v>360216</v>
      </c>
      <c r="E73" s="616">
        <f t="shared" si="15"/>
        <v>14275740</v>
      </c>
    </row>
    <row r="74" spans="2:5" x14ac:dyDescent="0.25">
      <c r="B74" s="641" t="s">
        <v>213</v>
      </c>
      <c r="C74" s="616">
        <v>2433876</v>
      </c>
      <c r="D74" s="652">
        <v>72348</v>
      </c>
      <c r="E74" s="616">
        <f t="shared" si="15"/>
        <v>2506224</v>
      </c>
    </row>
    <row r="75" spans="2:5" x14ac:dyDescent="0.25">
      <c r="B75" s="641" t="s">
        <v>34</v>
      </c>
      <c r="C75" s="616">
        <v>1464610</v>
      </c>
      <c r="D75" s="322"/>
      <c r="E75" s="616">
        <f t="shared" si="15"/>
        <v>1464610</v>
      </c>
    </row>
    <row r="76" spans="2:5" x14ac:dyDescent="0.25">
      <c r="B76" s="660" t="s">
        <v>35</v>
      </c>
      <c r="C76" s="616">
        <v>51103</v>
      </c>
      <c r="D76" s="322"/>
      <c r="E76" s="616">
        <f t="shared" si="15"/>
        <v>51103</v>
      </c>
    </row>
    <row r="77" spans="2:5" x14ac:dyDescent="0.25">
      <c r="B77" s="662" t="s">
        <v>876</v>
      </c>
      <c r="C77" s="654">
        <f>C64-C68</f>
        <v>-755758</v>
      </c>
      <c r="D77" s="654">
        <f>D64-D68</f>
        <v>2939</v>
      </c>
      <c r="E77" s="654">
        <f>E64-E68</f>
        <v>-752819</v>
      </c>
    </row>
    <row r="78" spans="2:5" hidden="1" x14ac:dyDescent="0.25">
      <c r="B78" s="660" t="s">
        <v>577</v>
      </c>
      <c r="C78" s="615">
        <v>0</v>
      </c>
      <c r="D78" s="322"/>
      <c r="E78" s="616">
        <f t="shared" si="15"/>
        <v>0</v>
      </c>
    </row>
    <row r="79" spans="2:5" x14ac:dyDescent="0.25">
      <c r="B79" s="641" t="s">
        <v>340</v>
      </c>
      <c r="C79" s="615">
        <v>915210</v>
      </c>
      <c r="D79" s="322"/>
      <c r="E79" s="616">
        <f t="shared" si="15"/>
        <v>915210</v>
      </c>
    </row>
    <row r="80" spans="2:5" hidden="1" x14ac:dyDescent="0.25">
      <c r="B80" s="641" t="s">
        <v>575</v>
      </c>
      <c r="C80" s="615">
        <v>0</v>
      </c>
      <c r="D80" s="322"/>
      <c r="E80" s="616">
        <f t="shared" si="15"/>
        <v>0</v>
      </c>
    </row>
    <row r="81" spans="2:5" x14ac:dyDescent="0.25">
      <c r="B81" s="641" t="s">
        <v>341</v>
      </c>
      <c r="C81" s="616">
        <v>264700</v>
      </c>
      <c r="D81" s="652">
        <v>781082</v>
      </c>
      <c r="E81" s="616">
        <f t="shared" si="15"/>
        <v>1045782</v>
      </c>
    </row>
    <row r="82" spans="2:5" x14ac:dyDescent="0.25">
      <c r="B82" s="662" t="s">
        <v>342</v>
      </c>
      <c r="C82" s="617">
        <f>C77+C79-C81</f>
        <v>-105248</v>
      </c>
      <c r="D82" s="617">
        <f>D77+D79-D81</f>
        <v>-778143</v>
      </c>
      <c r="E82" s="617">
        <f>E77+E79-E81</f>
        <v>-883391</v>
      </c>
    </row>
    <row r="83" spans="2:5" x14ac:dyDescent="0.25">
      <c r="B83" s="641" t="s">
        <v>315</v>
      </c>
      <c r="C83" s="615">
        <v>150372</v>
      </c>
      <c r="D83" s="322"/>
      <c r="E83" s="616">
        <f t="shared" si="15"/>
        <v>150372</v>
      </c>
    </row>
    <row r="84" spans="2:5" x14ac:dyDescent="0.25">
      <c r="B84" s="641" t="s">
        <v>526</v>
      </c>
      <c r="C84" s="616">
        <v>337135</v>
      </c>
      <c r="D84" s="322"/>
      <c r="E84" s="616">
        <f t="shared" si="15"/>
        <v>337135</v>
      </c>
    </row>
    <row r="85" spans="2:5" ht="23.4" customHeight="1" x14ac:dyDescent="0.25">
      <c r="B85" s="89" t="s">
        <v>406</v>
      </c>
      <c r="C85" s="616">
        <v>-127863</v>
      </c>
      <c r="D85" s="652"/>
      <c r="E85" s="616">
        <f t="shared" si="15"/>
        <v>-127863</v>
      </c>
    </row>
    <row r="86" spans="2:5" ht="21" x14ac:dyDescent="0.25">
      <c r="B86" s="89" t="s">
        <v>877</v>
      </c>
      <c r="C86" s="616">
        <v>0</v>
      </c>
      <c r="D86" s="652">
        <f>-263212+323191</f>
        <v>59979</v>
      </c>
      <c r="E86" s="616">
        <f t="shared" si="15"/>
        <v>59979</v>
      </c>
    </row>
    <row r="87" spans="2:5" x14ac:dyDescent="0.25">
      <c r="B87" s="662" t="s">
        <v>447</v>
      </c>
      <c r="C87" s="617">
        <f>C82+C83-C84+C85+C86</f>
        <v>-419874</v>
      </c>
      <c r="D87" s="617">
        <f>D82+D83-D84+D85+D86</f>
        <v>-718164</v>
      </c>
      <c r="E87" s="617">
        <f>E82+E83-E84+E85+E86</f>
        <v>-1138038</v>
      </c>
    </row>
    <row r="88" spans="2:5" x14ac:dyDescent="0.25">
      <c r="B88" s="641" t="s">
        <v>448</v>
      </c>
      <c r="C88" s="615">
        <v>213858</v>
      </c>
      <c r="D88" s="615">
        <v>558</v>
      </c>
      <c r="E88" s="616">
        <f t="shared" si="15"/>
        <v>214416</v>
      </c>
    </row>
    <row r="89" spans="2:5" x14ac:dyDescent="0.25">
      <c r="B89" s="662" t="s">
        <v>343</v>
      </c>
      <c r="C89" s="617">
        <f>C87-C88</f>
        <v>-633732</v>
      </c>
      <c r="D89" s="617">
        <f>D87-D88</f>
        <v>-718722</v>
      </c>
      <c r="E89" s="617">
        <f>E87-E88</f>
        <v>-1352454</v>
      </c>
    </row>
    <row r="90" spans="2:5" x14ac:dyDescent="0.25">
      <c r="B90" s="640" t="s">
        <v>344</v>
      </c>
      <c r="C90" s="616"/>
      <c r="D90" s="322"/>
      <c r="E90" s="616"/>
    </row>
    <row r="91" spans="2:5" x14ac:dyDescent="0.25">
      <c r="B91" s="662" t="s">
        <v>204</v>
      </c>
      <c r="C91" s="617">
        <f>C89+C90</f>
        <v>-633732</v>
      </c>
      <c r="D91" s="617">
        <f>D89+D90</f>
        <v>-718722</v>
      </c>
      <c r="E91" s="617">
        <f>E89+E90</f>
        <v>-1352454</v>
      </c>
    </row>
    <row r="92" spans="2:5" x14ac:dyDescent="0.25">
      <c r="B92" s="651" t="s">
        <v>533</v>
      </c>
      <c r="C92" s="615">
        <v>-51595</v>
      </c>
      <c r="D92" s="322"/>
      <c r="E92" s="616">
        <f>C92+D92</f>
        <v>-51595</v>
      </c>
    </row>
    <row r="93" spans="2:5" x14ac:dyDescent="0.25">
      <c r="B93" s="663" t="s">
        <v>133</v>
      </c>
      <c r="C93" s="654">
        <f>C91-C92</f>
        <v>-582137</v>
      </c>
      <c r="D93" s="654">
        <f>D91-D92</f>
        <v>-718722</v>
      </c>
      <c r="E93" s="654">
        <f>E91-E92</f>
        <v>-1300859</v>
      </c>
    </row>
  </sheetData>
  <mergeCells count="8">
    <mergeCell ref="B62:B63"/>
    <mergeCell ref="C62:E62"/>
    <mergeCell ref="B3:B4"/>
    <mergeCell ref="C3:E3"/>
    <mergeCell ref="F3:H3"/>
    <mergeCell ref="B29:B30"/>
    <mergeCell ref="C29:E29"/>
    <mergeCell ref="F29:H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17"/>
  <sheetViews>
    <sheetView view="pageBreakPreview" zoomScaleNormal="100" workbookViewId="0">
      <selection activeCell="B123" sqref="B123:F124"/>
    </sheetView>
  </sheetViews>
  <sheetFormatPr defaultColWidth="9.33203125" defaultRowHeight="10.199999999999999" x14ac:dyDescent="0.2"/>
  <cols>
    <col min="1" max="1" width="3.5546875" style="179" customWidth="1"/>
    <col min="2" max="2" width="59" style="179" customWidth="1"/>
    <col min="3" max="3" width="0" style="179" hidden="1" customWidth="1"/>
    <col min="4" max="5" width="26" style="179" customWidth="1"/>
    <col min="6" max="16384" width="9.33203125" style="179"/>
  </cols>
  <sheetData>
    <row r="1" spans="2:7" s="177" customFormat="1" ht="25.5" customHeight="1" x14ac:dyDescent="0.2">
      <c r="B1" s="178"/>
      <c r="C1" s="178"/>
      <c r="D1" s="178"/>
    </row>
    <row r="2" spans="2:7" s="183" customFormat="1" ht="20.399999999999999" x14ac:dyDescent="0.25">
      <c r="B2" s="190"/>
      <c r="C2" s="190" t="s">
        <v>296</v>
      </c>
      <c r="D2" s="190" t="str">
        <f>CONCATENATE("za okres ",'Dane podstawowe'!$B$7)</f>
        <v>za okres 01.01.2020-31.12.2020</v>
      </c>
      <c r="E2" s="190" t="s">
        <v>853</v>
      </c>
    </row>
    <row r="3" spans="2:7" s="350" customFormat="1" x14ac:dyDescent="0.25">
      <c r="B3" s="194" t="s">
        <v>127</v>
      </c>
      <c r="C3" s="281"/>
      <c r="D3" s="286">
        <f>RZiS!D31</f>
        <v>-1378081</v>
      </c>
      <c r="E3" s="286">
        <f>RZiS!E31</f>
        <v>-1352454</v>
      </c>
    </row>
    <row r="4" spans="2:7" s="350" customFormat="1" x14ac:dyDescent="0.25">
      <c r="B4" s="404" t="s">
        <v>822</v>
      </c>
      <c r="C4" s="281"/>
      <c r="D4" s="286"/>
      <c r="E4" s="286"/>
    </row>
    <row r="5" spans="2:7" s="17" customFormat="1" ht="20.399999999999999" x14ac:dyDescent="0.25">
      <c r="B5" s="640" t="s">
        <v>815</v>
      </c>
      <c r="C5" s="286"/>
      <c r="D5" s="286">
        <f>SUM(D6:D9)</f>
        <v>0</v>
      </c>
      <c r="E5" s="286">
        <f>SUM(E6:E9)</f>
        <v>0</v>
      </c>
      <c r="F5" s="405"/>
      <c r="G5" s="405"/>
    </row>
    <row r="6" spans="2:7" s="17" customFormat="1" ht="13.8" hidden="1" x14ac:dyDescent="0.25">
      <c r="B6" s="641" t="s">
        <v>816</v>
      </c>
      <c r="C6" s="286"/>
      <c r="D6" s="287">
        <v>0</v>
      </c>
      <c r="E6" s="287">
        <v>0</v>
      </c>
      <c r="F6" s="405"/>
      <c r="G6" s="405"/>
    </row>
    <row r="7" spans="2:7" s="18" customFormat="1" ht="13.2" hidden="1" x14ac:dyDescent="0.25">
      <c r="B7" s="641" t="s">
        <v>817</v>
      </c>
      <c r="C7" s="406"/>
      <c r="D7" s="406">
        <v>0</v>
      </c>
      <c r="E7" s="406">
        <v>0</v>
      </c>
      <c r="F7" s="405"/>
      <c r="G7" s="405"/>
    </row>
    <row r="8" spans="2:7" s="18" customFormat="1" ht="13.2" hidden="1" x14ac:dyDescent="0.25">
      <c r="B8" s="641" t="s">
        <v>818</v>
      </c>
      <c r="C8" s="286"/>
      <c r="D8" s="287">
        <v>0</v>
      </c>
      <c r="E8" s="287">
        <v>0</v>
      </c>
      <c r="F8" s="405"/>
      <c r="G8" s="405"/>
    </row>
    <row r="9" spans="2:7" s="18" customFormat="1" ht="20.399999999999999" hidden="1" x14ac:dyDescent="0.25">
      <c r="B9" s="641" t="s">
        <v>819</v>
      </c>
      <c r="C9" s="286"/>
      <c r="D9" s="287">
        <v>0</v>
      </c>
      <c r="E9" s="287">
        <v>0</v>
      </c>
      <c r="F9" s="405"/>
      <c r="G9" s="405"/>
    </row>
    <row r="10" spans="2:7" s="17" customFormat="1" ht="20.399999999999999" x14ac:dyDescent="0.25">
      <c r="B10" s="640" t="s">
        <v>820</v>
      </c>
      <c r="C10" s="286"/>
      <c r="D10" s="286">
        <f>D12+D11</f>
        <v>0</v>
      </c>
      <c r="E10" s="286">
        <f>E12+E11</f>
        <v>0</v>
      </c>
      <c r="F10" s="405"/>
      <c r="G10" s="405"/>
    </row>
    <row r="11" spans="2:7" s="17" customFormat="1" ht="13.8" hidden="1" x14ac:dyDescent="0.25">
      <c r="B11" s="641" t="s">
        <v>821</v>
      </c>
      <c r="C11" s="286"/>
      <c r="D11" s="287">
        <v>0</v>
      </c>
      <c r="E11" s="287">
        <v>0</v>
      </c>
      <c r="F11" s="405"/>
      <c r="G11" s="405"/>
    </row>
    <row r="12" spans="2:7" s="18" customFormat="1" ht="13.2" hidden="1" x14ac:dyDescent="0.25">
      <c r="B12" s="641" t="s">
        <v>817</v>
      </c>
      <c r="C12" s="287"/>
      <c r="D12" s="287">
        <v>0</v>
      </c>
      <c r="E12" s="287">
        <v>0</v>
      </c>
      <c r="F12" s="405"/>
      <c r="G12" s="405"/>
    </row>
    <row r="13" spans="2:7" s="352" customFormat="1" x14ac:dyDescent="0.2">
      <c r="B13" s="348" t="s">
        <v>835</v>
      </c>
      <c r="C13" s="281"/>
      <c r="D13" s="407">
        <f>D3+D5+D10</f>
        <v>-1378081</v>
      </c>
      <c r="E13" s="407">
        <f>E3+E5+E10</f>
        <v>-1352454</v>
      </c>
    </row>
    <row r="14" spans="2:7" x14ac:dyDescent="0.2">
      <c r="B14" s="48" t="s">
        <v>836</v>
      </c>
      <c r="C14" s="351"/>
      <c r="D14" s="408">
        <v>-27929</v>
      </c>
      <c r="E14" s="408">
        <v>-51595</v>
      </c>
    </row>
    <row r="15" spans="2:7" s="353" customFormat="1" x14ac:dyDescent="0.2">
      <c r="B15" s="47" t="s">
        <v>837</v>
      </c>
      <c r="C15" s="40"/>
      <c r="D15" s="409">
        <f>D13-D14</f>
        <v>-1350152</v>
      </c>
      <c r="E15" s="409">
        <f>E13-E14</f>
        <v>-1300859</v>
      </c>
    </row>
    <row r="16" spans="2:7" ht="16.5" customHeight="1" x14ac:dyDescent="0.2">
      <c r="B16" s="187"/>
      <c r="C16" s="187"/>
      <c r="D16" s="188"/>
      <c r="E16" s="188"/>
    </row>
    <row r="17" spans="2:5" ht="16.5" customHeight="1" x14ac:dyDescent="0.2">
      <c r="B17" s="187"/>
      <c r="C17" s="187"/>
      <c r="D17" s="188"/>
      <c r="E17" s="188"/>
    </row>
  </sheetData>
  <phoneticPr fontId="36" type="noConversion"/>
  <pageMargins left="0.75" right="0.75" top="1" bottom="1" header="0.5" footer="0.5"/>
  <pageSetup paperSize="9" scale="95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  <pageSetUpPr fitToPage="1"/>
  </sheetPr>
  <dimension ref="B1:I34"/>
  <sheetViews>
    <sheetView showGridLines="0" zoomScale="98" zoomScaleNormal="98" zoomScaleSheetLayoutView="75" workbookViewId="0">
      <selection activeCell="D25" sqref="D25:F25"/>
    </sheetView>
  </sheetViews>
  <sheetFormatPr defaultColWidth="9.33203125" defaultRowHeight="13.2" x14ac:dyDescent="0.25"/>
  <cols>
    <col min="1" max="1" width="3.44140625" style="14" customWidth="1"/>
    <col min="2" max="2" width="59" style="14" customWidth="1"/>
    <col min="3" max="3" width="9.33203125" style="14"/>
    <col min="4" max="4" width="16.6640625" style="14" bestFit="1" customWidth="1"/>
    <col min="5" max="5" width="15.6640625" style="14" bestFit="1" customWidth="1"/>
    <col min="6" max="6" width="16.33203125" style="14" customWidth="1"/>
    <col min="7" max="16384" width="9.33203125" style="14"/>
  </cols>
  <sheetData>
    <row r="1" spans="2:9" ht="17.399999999999999" x14ac:dyDescent="0.25">
      <c r="B1" s="764"/>
      <c r="C1" s="764"/>
      <c r="D1" s="764"/>
      <c r="E1" s="764"/>
    </row>
    <row r="2" spans="2:9" s="15" customFormat="1" ht="20.399999999999999" x14ac:dyDescent="0.25">
      <c r="B2" s="190" t="s">
        <v>284</v>
      </c>
      <c r="C2" s="197" t="s">
        <v>321</v>
      </c>
      <c r="D2" s="434">
        <v>44196</v>
      </c>
      <c r="E2" s="434" t="s">
        <v>844</v>
      </c>
      <c r="F2" s="434" t="s">
        <v>845</v>
      </c>
    </row>
    <row r="3" spans="2:9" s="16" customFormat="1" ht="13.8" x14ac:dyDescent="0.25">
      <c r="B3" s="191" t="s">
        <v>495</v>
      </c>
      <c r="C3" s="192"/>
      <c r="D3" s="282">
        <f>SUM(D4:D14)</f>
        <v>21115818</v>
      </c>
      <c r="E3" s="282">
        <f>SUM(E4:E14)</f>
        <v>23462978</v>
      </c>
      <c r="F3" s="282">
        <f>SUM(F4:F14)</f>
        <v>23021749</v>
      </c>
    </row>
    <row r="4" spans="2:9" s="17" customFormat="1" ht="13.8" x14ac:dyDescent="0.25">
      <c r="B4" s="182" t="s">
        <v>47</v>
      </c>
      <c r="C4" s="192" t="s">
        <v>625</v>
      </c>
      <c r="D4" s="285">
        <v>822958</v>
      </c>
      <c r="E4" s="285">
        <v>1124846</v>
      </c>
      <c r="F4" s="285">
        <v>1302874</v>
      </c>
    </row>
    <row r="5" spans="2:9" s="18" customFormat="1" x14ac:dyDescent="0.25">
      <c r="B5" s="376" t="s">
        <v>46</v>
      </c>
      <c r="C5" s="192" t="s">
        <v>626</v>
      </c>
      <c r="D5" s="283">
        <v>15552048</v>
      </c>
      <c r="E5" s="283">
        <f>17033078+323191</f>
        <v>17356269</v>
      </c>
      <c r="F5" s="283">
        <v>18879368</v>
      </c>
    </row>
    <row r="6" spans="2:9" s="18" customFormat="1" x14ac:dyDescent="0.25">
      <c r="B6" s="376" t="s">
        <v>794</v>
      </c>
      <c r="C6" s="192" t="s">
        <v>627</v>
      </c>
      <c r="D6" s="283">
        <v>1526355</v>
      </c>
      <c r="E6" s="283">
        <v>1597775</v>
      </c>
      <c r="F6" s="283">
        <v>0</v>
      </c>
    </row>
    <row r="7" spans="2:9" s="18" customFormat="1" x14ac:dyDescent="0.25">
      <c r="B7" s="182" t="s">
        <v>527</v>
      </c>
      <c r="C7" s="192" t="s">
        <v>628</v>
      </c>
      <c r="D7" s="283">
        <v>1821391</v>
      </c>
      <c r="E7" s="283">
        <v>1821391</v>
      </c>
      <c r="F7" s="283">
        <v>2064843</v>
      </c>
    </row>
    <row r="8" spans="2:9" s="18" customFormat="1" hidden="1" x14ac:dyDescent="0.25">
      <c r="B8" s="182" t="s">
        <v>120</v>
      </c>
      <c r="C8" s="192"/>
      <c r="D8" s="283">
        <v>0</v>
      </c>
      <c r="E8" s="283">
        <v>0</v>
      </c>
      <c r="F8" s="283">
        <v>0</v>
      </c>
    </row>
    <row r="9" spans="2:9" s="18" customFormat="1" x14ac:dyDescent="0.2">
      <c r="B9" s="322" t="s">
        <v>217</v>
      </c>
      <c r="C9" s="192" t="s">
        <v>579</v>
      </c>
      <c r="D9" s="283">
        <v>24800</v>
      </c>
      <c r="E9" s="283">
        <v>398683</v>
      </c>
      <c r="F9" s="283">
        <v>0</v>
      </c>
    </row>
    <row r="10" spans="2:9" s="18" customFormat="1" x14ac:dyDescent="0.25">
      <c r="B10" s="182" t="s">
        <v>297</v>
      </c>
      <c r="C10" s="192" t="s">
        <v>663</v>
      </c>
      <c r="D10" s="283">
        <f>5000-5000</f>
        <v>0</v>
      </c>
      <c r="E10" s="283">
        <v>0</v>
      </c>
      <c r="F10" s="283">
        <v>5000</v>
      </c>
    </row>
    <row r="11" spans="2:9" s="17" customFormat="1" ht="13.8" x14ac:dyDescent="0.25">
      <c r="B11" s="376" t="s">
        <v>676</v>
      </c>
      <c r="C11" s="192" t="s">
        <v>581</v>
      </c>
      <c r="D11" s="285">
        <v>227296</v>
      </c>
      <c r="E11" s="285">
        <v>212778</v>
      </c>
      <c r="F11" s="285">
        <v>0</v>
      </c>
    </row>
    <row r="12" spans="2:9" s="17" customFormat="1" ht="13.8" x14ac:dyDescent="0.25">
      <c r="B12" s="376" t="s">
        <v>504</v>
      </c>
      <c r="C12" s="192"/>
      <c r="D12" s="285">
        <v>144309</v>
      </c>
      <c r="E12" s="285">
        <v>146072</v>
      </c>
      <c r="F12" s="285">
        <v>274679</v>
      </c>
      <c r="I12" s="712"/>
    </row>
    <row r="13" spans="2:9" s="18" customFormat="1" x14ac:dyDescent="0.25">
      <c r="B13" s="182" t="s">
        <v>323</v>
      </c>
      <c r="C13" s="192">
        <v>6</v>
      </c>
      <c r="D13" s="283">
        <v>996469</v>
      </c>
      <c r="E13" s="283">
        <v>804876</v>
      </c>
      <c r="F13" s="283">
        <v>494604</v>
      </c>
    </row>
    <row r="14" spans="2:9" s="18" customFormat="1" x14ac:dyDescent="0.25">
      <c r="B14" s="376" t="s">
        <v>688</v>
      </c>
      <c r="C14" s="192" t="s">
        <v>580</v>
      </c>
      <c r="D14" s="283">
        <v>192</v>
      </c>
      <c r="E14" s="283">
        <v>288</v>
      </c>
      <c r="F14" s="283">
        <v>381</v>
      </c>
    </row>
    <row r="15" spans="2:9" s="18" customFormat="1" x14ac:dyDescent="0.25">
      <c r="B15" s="191" t="s">
        <v>496</v>
      </c>
      <c r="C15" s="192"/>
      <c r="D15" s="282">
        <f>SUM(D16:D23)</f>
        <v>17607662</v>
      </c>
      <c r="E15" s="282">
        <f>SUM(E16:E23)</f>
        <v>16004545</v>
      </c>
      <c r="F15" s="282">
        <f>SUM(F16:F23)</f>
        <v>15532332</v>
      </c>
    </row>
    <row r="16" spans="2:9" s="16" customFormat="1" ht="13.8" x14ac:dyDescent="0.25">
      <c r="B16" s="182" t="s">
        <v>486</v>
      </c>
      <c r="C16" s="192"/>
      <c r="D16" s="285">
        <v>0</v>
      </c>
      <c r="E16" s="285">
        <v>262</v>
      </c>
      <c r="F16" s="285">
        <v>74920</v>
      </c>
    </row>
    <row r="17" spans="2:9" s="18" customFormat="1" ht="13.8" x14ac:dyDescent="0.25">
      <c r="B17" s="182" t="s">
        <v>324</v>
      </c>
      <c r="C17" s="192" t="s">
        <v>582</v>
      </c>
      <c r="D17" s="283">
        <v>10844736</v>
      </c>
      <c r="E17" s="283">
        <v>11227678</v>
      </c>
      <c r="F17" s="283">
        <v>11404054</v>
      </c>
      <c r="I17" s="712"/>
    </row>
    <row r="18" spans="2:9" s="18" customFormat="1" ht="13.8" x14ac:dyDescent="0.2">
      <c r="B18" s="322" t="s">
        <v>407</v>
      </c>
      <c r="C18" s="192"/>
      <c r="D18" s="283">
        <v>244819</v>
      </c>
      <c r="E18" s="283">
        <v>350911</v>
      </c>
      <c r="F18" s="283">
        <v>515839</v>
      </c>
      <c r="I18" s="712"/>
    </row>
    <row r="19" spans="2:9" s="18" customFormat="1" ht="13.8" x14ac:dyDescent="0.25">
      <c r="B19" s="182" t="s">
        <v>114</v>
      </c>
      <c r="C19" s="192" t="s">
        <v>583</v>
      </c>
      <c r="D19" s="406">
        <f>671855-244819</f>
        <v>427036</v>
      </c>
      <c r="E19" s="406">
        <v>984816</v>
      </c>
      <c r="F19" s="406">
        <v>885627</v>
      </c>
      <c r="I19" s="712"/>
    </row>
    <row r="20" spans="2:9" s="16" customFormat="1" ht="13.8" x14ac:dyDescent="0.25">
      <c r="B20" s="376" t="s">
        <v>593</v>
      </c>
      <c r="C20" s="192" t="s">
        <v>581</v>
      </c>
      <c r="D20" s="285">
        <v>45166</v>
      </c>
      <c r="E20" s="285">
        <v>0</v>
      </c>
      <c r="F20" s="285">
        <v>262592</v>
      </c>
    </row>
    <row r="21" spans="2:9" s="18" customFormat="1" hidden="1" x14ac:dyDescent="0.25">
      <c r="B21" s="182" t="s">
        <v>113</v>
      </c>
      <c r="C21" s="192"/>
      <c r="D21" s="283">
        <v>0</v>
      </c>
      <c r="E21" s="283">
        <v>0</v>
      </c>
      <c r="F21" s="283">
        <v>0</v>
      </c>
    </row>
    <row r="22" spans="2:9" s="18" customFormat="1" x14ac:dyDescent="0.25">
      <c r="B22" s="182" t="s">
        <v>322</v>
      </c>
      <c r="C22" s="192" t="s">
        <v>584</v>
      </c>
      <c r="D22" s="614">
        <v>94008</v>
      </c>
      <c r="E22" s="283">
        <v>201386</v>
      </c>
      <c r="F22" s="283">
        <v>122189</v>
      </c>
    </row>
    <row r="23" spans="2:9" s="18" customFormat="1" x14ac:dyDescent="0.25">
      <c r="B23" s="182" t="s">
        <v>325</v>
      </c>
      <c r="C23" s="192" t="s">
        <v>664</v>
      </c>
      <c r="D23" s="614">
        <v>5951897</v>
      </c>
      <c r="E23" s="283">
        <v>3239492</v>
      </c>
      <c r="F23" s="283">
        <v>2267111</v>
      </c>
      <c r="I23" s="648"/>
    </row>
    <row r="24" spans="2:9" s="280" customFormat="1" hidden="1" x14ac:dyDescent="0.2">
      <c r="B24" s="53" t="s">
        <v>846</v>
      </c>
      <c r="C24" s="192"/>
      <c r="D24" s="287">
        <v>0</v>
      </c>
      <c r="E24" s="287">
        <v>0</v>
      </c>
      <c r="F24" s="287">
        <v>0</v>
      </c>
    </row>
    <row r="25" spans="2:9" s="15" customFormat="1" x14ac:dyDescent="0.25">
      <c r="B25" s="191" t="s">
        <v>326</v>
      </c>
      <c r="C25" s="192"/>
      <c r="D25" s="282">
        <f>SUM(D3,D15,D24)</f>
        <v>38723480</v>
      </c>
      <c r="E25" s="282">
        <f>SUM(E3,E15,E24)</f>
        <v>39467523</v>
      </c>
      <c r="F25" s="282">
        <f>SUM(F3,F15,F24)</f>
        <v>38554081</v>
      </c>
    </row>
    <row r="26" spans="2:9" s="21" customFormat="1" x14ac:dyDescent="0.25">
      <c r="B26" s="19"/>
      <c r="C26" s="23"/>
      <c r="D26" s="22"/>
      <c r="E26" s="20"/>
    </row>
    <row r="27" spans="2:9" s="21" customFormat="1" x14ac:dyDescent="0.25">
      <c r="B27" s="19"/>
      <c r="C27" s="23"/>
      <c r="D27" s="24"/>
      <c r="E27" s="20"/>
    </row>
    <row r="28" spans="2:9" s="21" customFormat="1" x14ac:dyDescent="0.25">
      <c r="B28" s="19"/>
      <c r="C28" s="23"/>
      <c r="D28" s="20"/>
      <c r="E28" s="20"/>
    </row>
    <row r="29" spans="2:9" s="21" customFormat="1" x14ac:dyDescent="0.25">
      <c r="B29" s="19"/>
      <c r="C29" s="23"/>
      <c r="D29" s="20"/>
      <c r="E29" s="20"/>
    </row>
    <row r="30" spans="2:9" s="21" customFormat="1" ht="13.8" x14ac:dyDescent="0.25">
      <c r="B30" s="26"/>
      <c r="C30" s="25"/>
      <c r="D30" s="20"/>
      <c r="E30" s="20"/>
    </row>
    <row r="31" spans="2:9" s="21" customFormat="1" x14ac:dyDescent="0.25">
      <c r="B31" s="19"/>
      <c r="C31" s="23"/>
      <c r="D31" s="20"/>
      <c r="E31" s="20"/>
    </row>
    <row r="32" spans="2:9" s="21" customFormat="1" ht="13.8" x14ac:dyDescent="0.25">
      <c r="B32" s="26"/>
      <c r="C32" s="25"/>
      <c r="D32" s="20"/>
      <c r="E32" s="20"/>
    </row>
    <row r="33" spans="2:5" s="21" customFormat="1" x14ac:dyDescent="0.25">
      <c r="B33" s="19"/>
      <c r="C33" s="23"/>
      <c r="D33" s="20"/>
      <c r="E33" s="20"/>
    </row>
    <row r="34" spans="2:5" s="21" customFormat="1" x14ac:dyDescent="0.25">
      <c r="B34" s="19"/>
      <c r="C34" s="23"/>
      <c r="D34" s="20"/>
      <c r="E34" s="20"/>
    </row>
  </sheetData>
  <mergeCells count="1">
    <mergeCell ref="B1:E1"/>
  </mergeCells>
  <phoneticPr fontId="6" type="noConversion"/>
  <pageMargins left="0.75" right="0.75" top="1" bottom="1" header="0.5" footer="0.5"/>
  <pageSetup paperSize="9" scale="96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  <pageSetUpPr fitToPage="1"/>
  </sheetPr>
  <dimension ref="B1:L41"/>
  <sheetViews>
    <sheetView showGridLines="0" view="pageBreakPreview" topLeftCell="A2" zoomScaleNormal="75" zoomScaleSheetLayoutView="80" workbookViewId="0">
      <selection activeCell="D30" sqref="D30:F30"/>
    </sheetView>
  </sheetViews>
  <sheetFormatPr defaultColWidth="9.33203125" defaultRowHeight="13.2" x14ac:dyDescent="0.25"/>
  <cols>
    <col min="1" max="1" width="2.6640625" style="14" customWidth="1"/>
    <col min="2" max="2" width="59" style="14" customWidth="1"/>
    <col min="3" max="3" width="8.6640625" style="373" customWidth="1"/>
    <col min="4" max="4" width="16.6640625" style="14" bestFit="1" customWidth="1"/>
    <col min="5" max="5" width="16.5546875" style="14" bestFit="1" customWidth="1"/>
    <col min="6" max="6" width="14.33203125" style="14" customWidth="1"/>
    <col min="7" max="8" width="9.33203125" style="14"/>
    <col min="9" max="10" width="10.109375" style="14" bestFit="1" customWidth="1"/>
    <col min="11" max="16384" width="9.33203125" style="14"/>
  </cols>
  <sheetData>
    <row r="1" spans="2:12" ht="15" x14ac:dyDescent="0.25">
      <c r="B1" s="176"/>
    </row>
    <row r="2" spans="2:12" s="15" customFormat="1" ht="20.399999999999999" x14ac:dyDescent="0.25">
      <c r="B2" s="190" t="s">
        <v>415</v>
      </c>
      <c r="C2" s="197" t="s">
        <v>321</v>
      </c>
      <c r="D2" s="434">
        <v>44196</v>
      </c>
      <c r="E2" s="434" t="s">
        <v>844</v>
      </c>
      <c r="F2" s="434" t="s">
        <v>845</v>
      </c>
    </row>
    <row r="3" spans="2:12" s="16" customFormat="1" ht="13.8" x14ac:dyDescent="0.25">
      <c r="B3" s="191" t="s">
        <v>410</v>
      </c>
      <c r="C3" s="192" t="s">
        <v>171</v>
      </c>
      <c r="D3" s="282">
        <f>D4+D11</f>
        <v>21345563</v>
      </c>
      <c r="E3" s="282">
        <f>E4+E11</f>
        <v>22626175</v>
      </c>
      <c r="F3" s="282">
        <f>F4+F11</f>
        <v>23084992</v>
      </c>
    </row>
    <row r="4" spans="2:12" s="16" customFormat="1" ht="13.8" x14ac:dyDescent="0.25">
      <c r="B4" s="451" t="s">
        <v>408</v>
      </c>
      <c r="C4" s="192" t="s">
        <v>171</v>
      </c>
      <c r="D4" s="286">
        <f>SUM(D5:D10)</f>
        <v>21213163</v>
      </c>
      <c r="E4" s="286">
        <f>SUM(E5:E10)</f>
        <v>22587824</v>
      </c>
      <c r="F4" s="286">
        <f>SUM(F5:F10)</f>
        <v>21951036</v>
      </c>
    </row>
    <row r="5" spans="2:12" s="17" customFormat="1" ht="13.8" x14ac:dyDescent="0.25">
      <c r="B5" s="182" t="s">
        <v>334</v>
      </c>
      <c r="C5" s="192" t="s">
        <v>665</v>
      </c>
      <c r="D5" s="287">
        <v>248578</v>
      </c>
      <c r="E5" s="652">
        <v>248578</v>
      </c>
      <c r="F5" s="652">
        <v>229155</v>
      </c>
    </row>
    <row r="6" spans="2:12" s="18" customFormat="1" hidden="1" x14ac:dyDescent="0.25">
      <c r="B6" s="182" t="s">
        <v>298</v>
      </c>
      <c r="C6" s="192" t="s">
        <v>171</v>
      </c>
      <c r="D6" s="283">
        <v>0</v>
      </c>
      <c r="E6" s="653">
        <v>0</v>
      </c>
      <c r="F6" s="653">
        <v>0</v>
      </c>
    </row>
    <row r="7" spans="2:12" s="18" customFormat="1" x14ac:dyDescent="0.25">
      <c r="B7" s="182" t="s">
        <v>335</v>
      </c>
      <c r="C7" s="192" t="s">
        <v>666</v>
      </c>
      <c r="D7" s="283">
        <f>28164867</f>
        <v>28164867</v>
      </c>
      <c r="E7" s="653">
        <v>28164867</v>
      </c>
      <c r="F7" s="653">
        <v>24071786</v>
      </c>
      <c r="I7" s="648"/>
      <c r="J7" s="648"/>
      <c r="L7" s="648"/>
    </row>
    <row r="8" spans="2:12" s="18" customFormat="1" hidden="1" x14ac:dyDescent="0.25">
      <c r="B8" s="452" t="s">
        <v>838</v>
      </c>
      <c r="C8" s="192" t="s">
        <v>666</v>
      </c>
      <c r="D8" s="283">
        <v>0</v>
      </c>
      <c r="E8" s="653">
        <v>0</v>
      </c>
      <c r="F8" s="653">
        <v>0</v>
      </c>
      <c r="L8" s="648"/>
    </row>
    <row r="9" spans="2:12" s="17" customFormat="1" ht="13.8" x14ac:dyDescent="0.25">
      <c r="B9" s="182" t="s">
        <v>115</v>
      </c>
      <c r="C9" s="192"/>
      <c r="D9" s="283">
        <v>-5850130</v>
      </c>
      <c r="E9" s="652">
        <v>-4524762</v>
      </c>
      <c r="F9" s="652">
        <v>-2786696</v>
      </c>
    </row>
    <row r="10" spans="2:12" s="18" customFormat="1" x14ac:dyDescent="0.25">
      <c r="B10" s="182" t="s">
        <v>116</v>
      </c>
      <c r="C10" s="192" t="s">
        <v>171</v>
      </c>
      <c r="D10" s="283">
        <v>-1350152</v>
      </c>
      <c r="E10" s="653">
        <f>-1624050+323191</f>
        <v>-1300859</v>
      </c>
      <c r="F10" s="653">
        <v>436791</v>
      </c>
    </row>
    <row r="11" spans="2:12" s="18" customFormat="1" ht="15" customHeight="1" x14ac:dyDescent="0.25">
      <c r="B11" s="451" t="s">
        <v>534</v>
      </c>
      <c r="C11" s="192" t="s">
        <v>667</v>
      </c>
      <c r="D11" s="288">
        <v>132400</v>
      </c>
      <c r="E11" s="288">
        <v>38351</v>
      </c>
      <c r="F11" s="288">
        <v>1133956</v>
      </c>
    </row>
    <row r="12" spans="2:12" s="18" customFormat="1" x14ac:dyDescent="0.25">
      <c r="B12" s="191" t="s">
        <v>411</v>
      </c>
      <c r="C12" s="192" t="s">
        <v>171</v>
      </c>
      <c r="D12" s="282">
        <f>SUM(D13:D19)</f>
        <v>2673276</v>
      </c>
      <c r="E12" s="282">
        <f>SUM(E13:E19)</f>
        <v>3735423</v>
      </c>
      <c r="F12" s="282">
        <f>SUM(F13:F19)</f>
        <v>2337797</v>
      </c>
    </row>
    <row r="13" spans="2:12" s="16" customFormat="1" ht="13.8" x14ac:dyDescent="0.25">
      <c r="B13" s="182" t="s">
        <v>48</v>
      </c>
      <c r="C13" s="192" t="s">
        <v>668</v>
      </c>
      <c r="D13" s="285">
        <v>1216404</v>
      </c>
      <c r="E13" s="652">
        <v>705000</v>
      </c>
      <c r="F13" s="652">
        <v>0</v>
      </c>
    </row>
    <row r="14" spans="2:12" s="18" customFormat="1" x14ac:dyDescent="0.25">
      <c r="B14" s="376" t="s">
        <v>136</v>
      </c>
      <c r="C14" s="192" t="s">
        <v>669</v>
      </c>
      <c r="D14" s="283">
        <v>524431</v>
      </c>
      <c r="E14" s="653">
        <f>787325+924344</f>
        <v>1711669</v>
      </c>
      <c r="F14" s="653">
        <f>126053+924344</f>
        <v>1050397</v>
      </c>
    </row>
    <row r="15" spans="2:12" s="18" customFormat="1" x14ac:dyDescent="0.25">
      <c r="B15" s="376" t="s">
        <v>218</v>
      </c>
      <c r="C15" s="192"/>
      <c r="D15" s="283">
        <v>2460</v>
      </c>
      <c r="E15" s="653">
        <v>0</v>
      </c>
      <c r="F15" s="653">
        <v>0</v>
      </c>
    </row>
    <row r="16" spans="2:12" s="18" customFormat="1" x14ac:dyDescent="0.25">
      <c r="B16" s="376" t="s">
        <v>137</v>
      </c>
      <c r="C16" s="192">
        <v>6</v>
      </c>
      <c r="D16" s="283">
        <v>929981</v>
      </c>
      <c r="E16" s="653">
        <v>1318754</v>
      </c>
      <c r="F16" s="653">
        <v>1287400</v>
      </c>
      <c r="H16" s="648"/>
      <c r="J16" s="648"/>
    </row>
    <row r="17" spans="2:10" s="16" customFormat="1" ht="13.8" hidden="1" x14ac:dyDescent="0.25">
      <c r="B17" s="376" t="s">
        <v>446</v>
      </c>
      <c r="C17" s="192"/>
      <c r="D17" s="285">
        <v>0</v>
      </c>
      <c r="E17" s="652">
        <v>0</v>
      </c>
      <c r="F17" s="652">
        <v>0</v>
      </c>
    </row>
    <row r="18" spans="2:10" s="16" customFormat="1" ht="13.8" hidden="1" x14ac:dyDescent="0.25">
      <c r="B18" s="376" t="s">
        <v>336</v>
      </c>
      <c r="C18" s="192"/>
      <c r="D18" s="285">
        <v>0</v>
      </c>
      <c r="E18" s="652">
        <v>0</v>
      </c>
      <c r="F18" s="652">
        <v>0</v>
      </c>
    </row>
    <row r="19" spans="2:10" s="16" customFormat="1" ht="13.8" hidden="1" x14ac:dyDescent="0.25">
      <c r="B19" s="376" t="s">
        <v>294</v>
      </c>
      <c r="C19" s="192"/>
      <c r="D19" s="285">
        <v>0</v>
      </c>
      <c r="E19" s="652">
        <v>0</v>
      </c>
      <c r="F19" s="652">
        <v>0</v>
      </c>
    </row>
    <row r="20" spans="2:10" s="18" customFormat="1" x14ac:dyDescent="0.25">
      <c r="B20" s="191" t="s">
        <v>313</v>
      </c>
      <c r="C20" s="192" t="s">
        <v>171</v>
      </c>
      <c r="D20" s="282">
        <f>SUM(D21:D29)</f>
        <v>14704641</v>
      </c>
      <c r="E20" s="282">
        <f>SUM(E21:E29)</f>
        <v>13105925</v>
      </c>
      <c r="F20" s="282">
        <f>SUM(F21:F29)</f>
        <v>13131292</v>
      </c>
    </row>
    <row r="21" spans="2:10" s="18" customFormat="1" x14ac:dyDescent="0.25">
      <c r="B21" s="182" t="s">
        <v>48</v>
      </c>
      <c r="C21" s="192" t="s">
        <v>668</v>
      </c>
      <c r="D21" s="285">
        <v>2006780</v>
      </c>
      <c r="E21" s="652">
        <v>2250460</v>
      </c>
      <c r="F21" s="652">
        <v>1393800</v>
      </c>
    </row>
    <row r="22" spans="2:10" s="18" customFormat="1" x14ac:dyDescent="0.25">
      <c r="B22" s="376" t="s">
        <v>136</v>
      </c>
      <c r="C22" s="192" t="s">
        <v>669</v>
      </c>
      <c r="D22" s="285">
        <v>1921438</v>
      </c>
      <c r="E22" s="652">
        <v>781096</v>
      </c>
      <c r="F22" s="652">
        <v>110125</v>
      </c>
    </row>
    <row r="23" spans="2:10" s="18" customFormat="1" x14ac:dyDescent="0.25">
      <c r="B23" s="182" t="s">
        <v>337</v>
      </c>
      <c r="C23" s="192" t="s">
        <v>670</v>
      </c>
      <c r="D23" s="285">
        <v>6204158</v>
      </c>
      <c r="E23" s="652">
        <v>6634704</v>
      </c>
      <c r="F23" s="653">
        <v>7476785</v>
      </c>
    </row>
    <row r="24" spans="2:10" s="18" customFormat="1" x14ac:dyDescent="0.25">
      <c r="B24" s="452" t="s">
        <v>412</v>
      </c>
      <c r="C24" s="192" t="s">
        <v>171</v>
      </c>
      <c r="D24" s="285">
        <v>0</v>
      </c>
      <c r="E24" s="652">
        <v>4864</v>
      </c>
      <c r="F24" s="653">
        <v>0</v>
      </c>
    </row>
    <row r="25" spans="2:10" s="18" customFormat="1" x14ac:dyDescent="0.25">
      <c r="B25" s="182" t="s">
        <v>481</v>
      </c>
      <c r="C25" s="192" t="s">
        <v>671</v>
      </c>
      <c r="D25" s="285">
        <v>2113494</v>
      </c>
      <c r="E25" s="652">
        <v>1966194</v>
      </c>
      <c r="F25" s="653">
        <v>3122868</v>
      </c>
    </row>
    <row r="26" spans="2:10" s="18" customFormat="1" x14ac:dyDescent="0.25">
      <c r="B26" s="376" t="s">
        <v>616</v>
      </c>
      <c r="C26" s="192" t="s">
        <v>672</v>
      </c>
      <c r="D26" s="615">
        <v>1438239</v>
      </c>
      <c r="E26" s="652">
        <v>832242</v>
      </c>
      <c r="F26" s="653">
        <v>507954</v>
      </c>
    </row>
    <row r="27" spans="2:10" s="18" customFormat="1" x14ac:dyDescent="0.25">
      <c r="B27" s="182" t="s">
        <v>336</v>
      </c>
      <c r="C27" s="192" t="s">
        <v>585</v>
      </c>
      <c r="D27" s="285">
        <v>910819</v>
      </c>
      <c r="E27" s="652">
        <v>462010</v>
      </c>
      <c r="F27" s="653">
        <v>382035</v>
      </c>
      <c r="H27" s="648"/>
      <c r="J27" s="648"/>
    </row>
    <row r="28" spans="2:10" s="18" customFormat="1" x14ac:dyDescent="0.25">
      <c r="B28" s="182" t="s">
        <v>294</v>
      </c>
      <c r="C28" s="192" t="s">
        <v>834</v>
      </c>
      <c r="D28" s="285">
        <v>109713</v>
      </c>
      <c r="E28" s="652">
        <v>174355</v>
      </c>
      <c r="F28" s="653">
        <v>88000</v>
      </c>
      <c r="H28" s="648"/>
      <c r="J28" s="648"/>
    </row>
    <row r="29" spans="2:10" s="280" customFormat="1" x14ac:dyDescent="0.25">
      <c r="B29" s="376" t="s">
        <v>690</v>
      </c>
      <c r="C29" s="192"/>
      <c r="D29" s="287">
        <v>0</v>
      </c>
      <c r="E29" s="615">
        <v>0</v>
      </c>
      <c r="F29" s="652">
        <v>49725</v>
      </c>
    </row>
    <row r="30" spans="2:10" s="15" customFormat="1" x14ac:dyDescent="0.25">
      <c r="B30" s="191" t="s">
        <v>338</v>
      </c>
      <c r="C30" s="192" t="s">
        <v>171</v>
      </c>
      <c r="D30" s="282">
        <f>SUM(D3,D12,D20)</f>
        <v>38723480</v>
      </c>
      <c r="E30" s="282">
        <f>SUM(E3,E12,E20)</f>
        <v>39467523</v>
      </c>
      <c r="F30" s="282">
        <f>SUM(F3,F12,F20)</f>
        <v>38554081</v>
      </c>
    </row>
    <row r="31" spans="2:10" x14ac:dyDescent="0.25">
      <c r="B31" s="196" t="s">
        <v>131</v>
      </c>
      <c r="C31" s="192" t="s">
        <v>171</v>
      </c>
      <c r="D31" s="426">
        <f>D3/2485775</f>
        <v>8.5870857177339062</v>
      </c>
      <c r="E31" s="426">
        <f>E3/2485775</f>
        <v>9.1022618700405307</v>
      </c>
      <c r="F31" s="426">
        <f>F3/2291551</f>
        <v>10.073959514756599</v>
      </c>
    </row>
    <row r="32" spans="2:10" s="21" customFormat="1" x14ac:dyDescent="0.25">
      <c r="B32" s="19"/>
      <c r="C32" s="374"/>
      <c r="D32" s="22"/>
      <c r="E32" s="20"/>
    </row>
    <row r="33" spans="2:5" s="21" customFormat="1" x14ac:dyDescent="0.25">
      <c r="B33" s="19"/>
      <c r="C33" s="374"/>
      <c r="D33" s="22"/>
      <c r="E33" s="20"/>
    </row>
    <row r="34" spans="2:5" s="21" customFormat="1" x14ac:dyDescent="0.25">
      <c r="B34" s="19"/>
      <c r="C34" s="374"/>
      <c r="D34" s="24"/>
      <c r="E34" s="20"/>
    </row>
    <row r="35" spans="2:5" s="21" customFormat="1" x14ac:dyDescent="0.25">
      <c r="B35" s="19"/>
      <c r="C35" s="374"/>
      <c r="D35" s="20"/>
      <c r="E35" s="20"/>
    </row>
    <row r="36" spans="2:5" s="21" customFormat="1" x14ac:dyDescent="0.25">
      <c r="B36" s="19"/>
      <c r="C36" s="374"/>
      <c r="D36" s="20"/>
      <c r="E36" s="20"/>
    </row>
    <row r="37" spans="2:5" s="21" customFormat="1" ht="13.8" x14ac:dyDescent="0.25">
      <c r="B37" s="26"/>
      <c r="C37" s="375"/>
      <c r="D37" s="20"/>
      <c r="E37" s="20"/>
    </row>
    <row r="38" spans="2:5" s="21" customFormat="1" x14ac:dyDescent="0.25">
      <c r="B38" s="19"/>
      <c r="C38" s="374"/>
      <c r="D38" s="20"/>
      <c r="E38" s="20"/>
    </row>
    <row r="39" spans="2:5" s="21" customFormat="1" ht="13.8" x14ac:dyDescent="0.25">
      <c r="B39" s="26"/>
      <c r="C39" s="375"/>
      <c r="D39" s="20"/>
      <c r="E39" s="20"/>
    </row>
    <row r="40" spans="2:5" s="21" customFormat="1" x14ac:dyDescent="0.25">
      <c r="B40" s="19"/>
      <c r="C40" s="374"/>
      <c r="D40" s="20"/>
      <c r="E40" s="20"/>
    </row>
    <row r="41" spans="2:5" s="21" customFormat="1" x14ac:dyDescent="0.25">
      <c r="B41" s="19"/>
      <c r="C41" s="374"/>
      <c r="D41" s="20"/>
      <c r="E41" s="20"/>
    </row>
  </sheetData>
  <phoneticPr fontId="31" type="noConversion"/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  <pageSetUpPr fitToPage="1"/>
  </sheetPr>
  <dimension ref="B1:K43"/>
  <sheetViews>
    <sheetView showGridLines="0" view="pageBreakPreview" topLeftCell="A7" zoomScale="98" zoomScaleNormal="100" zoomScaleSheetLayoutView="98" workbookViewId="0">
      <selection activeCell="B123" sqref="B123:F124"/>
    </sheetView>
  </sheetViews>
  <sheetFormatPr defaultColWidth="9.33203125" defaultRowHeight="15" x14ac:dyDescent="0.25"/>
  <cols>
    <col min="1" max="1" width="4.5546875" style="27" customWidth="1"/>
    <col min="2" max="2" width="57.33203125" style="27" bestFit="1" customWidth="1"/>
    <col min="3" max="9" width="14.6640625" style="27" customWidth="1"/>
    <col min="10" max="10" width="16.33203125" style="27" customWidth="1"/>
    <col min="11" max="11" width="14.6640625" style="27" customWidth="1"/>
    <col min="12" max="16384" width="9.33203125" style="27"/>
  </cols>
  <sheetData>
    <row r="1" spans="2:11" x14ac:dyDescent="0.25">
      <c r="B1" s="39"/>
    </row>
    <row r="2" spans="2:11" s="14" customFormat="1" ht="16.8" x14ac:dyDescent="0.25">
      <c r="B2" s="200" t="s">
        <v>123</v>
      </c>
      <c r="C2" s="199"/>
      <c r="D2" s="199"/>
      <c r="E2" s="199"/>
      <c r="F2" s="30"/>
    </row>
    <row r="3" spans="2:11" s="14" customFormat="1" ht="63" customHeight="1" x14ac:dyDescent="0.25">
      <c r="B3" s="71"/>
      <c r="C3" s="198" t="s">
        <v>334</v>
      </c>
      <c r="D3" s="197" t="s">
        <v>409</v>
      </c>
      <c r="E3" s="197" t="s">
        <v>335</v>
      </c>
      <c r="F3" s="197" t="s">
        <v>838</v>
      </c>
      <c r="G3" s="197" t="s">
        <v>115</v>
      </c>
      <c r="H3" s="197" t="s">
        <v>116</v>
      </c>
      <c r="I3" s="197" t="s">
        <v>413</v>
      </c>
      <c r="J3" s="197" t="s">
        <v>534</v>
      </c>
      <c r="K3" s="197" t="s">
        <v>414</v>
      </c>
    </row>
    <row r="4" spans="2:11" x14ac:dyDescent="0.25">
      <c r="B4" s="765" t="s">
        <v>847</v>
      </c>
      <c r="C4" s="766"/>
      <c r="D4" s="766"/>
      <c r="E4" s="766"/>
      <c r="F4" s="766"/>
      <c r="G4" s="766"/>
      <c r="H4" s="766"/>
      <c r="I4" s="766"/>
      <c r="J4" s="766"/>
      <c r="K4" s="766"/>
    </row>
    <row r="5" spans="2:11" x14ac:dyDescent="0.25">
      <c r="B5" s="289" t="s">
        <v>848</v>
      </c>
      <c r="C5" s="167">
        <v>248578</v>
      </c>
      <c r="D5" s="167">
        <v>15724909</v>
      </c>
      <c r="E5" s="167">
        <f>E40</f>
        <v>12639958</v>
      </c>
      <c r="F5" s="167">
        <v>-27952</v>
      </c>
      <c r="G5" s="167">
        <v>-582137</v>
      </c>
      <c r="H5" s="167">
        <v>0</v>
      </c>
      <c r="I5" s="167">
        <f>SUM(C5:H5)</f>
        <v>28003356</v>
      </c>
      <c r="J5" s="167">
        <f t="shared" ref="J5" si="0">J40</f>
        <v>38351</v>
      </c>
      <c r="K5" s="167">
        <f>I5+J5</f>
        <v>28041707</v>
      </c>
    </row>
    <row r="6" spans="2:11" x14ac:dyDescent="0.25">
      <c r="B6" s="540" t="s">
        <v>717</v>
      </c>
      <c r="C6" s="291">
        <v>0</v>
      </c>
      <c r="D6" s="291">
        <v>0</v>
      </c>
      <c r="E6" s="291">
        <v>0</v>
      </c>
      <c r="F6" s="291">
        <v>27952</v>
      </c>
      <c r="G6" s="291">
        <v>-192174</v>
      </c>
      <c r="H6" s="291">
        <v>0</v>
      </c>
      <c r="I6" s="244">
        <f t="shared" ref="I6:I10" si="1">SUM(C6:H6)</f>
        <v>-164222</v>
      </c>
      <c r="J6" s="244">
        <v>0</v>
      </c>
      <c r="K6" s="244">
        <f t="shared" ref="K6:K22" si="2">I6+J6</f>
        <v>-164222</v>
      </c>
    </row>
    <row r="7" spans="2:11" x14ac:dyDescent="0.25">
      <c r="B7" s="290" t="s">
        <v>417</v>
      </c>
      <c r="C7" s="291">
        <v>0</v>
      </c>
      <c r="D7" s="291">
        <v>-200000</v>
      </c>
      <c r="E7" s="291"/>
      <c r="F7" s="291">
        <v>0</v>
      </c>
      <c r="G7" s="291">
        <f>-5374501+323191</f>
        <v>-5051310</v>
      </c>
      <c r="H7" s="291">
        <v>0</v>
      </c>
      <c r="I7" s="244">
        <f t="shared" si="1"/>
        <v>-5251310</v>
      </c>
      <c r="J7" s="244">
        <v>0</v>
      </c>
      <c r="K7" s="244">
        <f t="shared" si="2"/>
        <v>-5251310</v>
      </c>
    </row>
    <row r="8" spans="2:11" x14ac:dyDescent="0.25">
      <c r="B8" s="292" t="s">
        <v>418</v>
      </c>
      <c r="C8" s="167">
        <f>SUM(C5:C7)</f>
        <v>248578</v>
      </c>
      <c r="D8" s="167">
        <f t="shared" ref="D8:J8" si="3">SUM(D5:D7)</f>
        <v>15524909</v>
      </c>
      <c r="E8" s="167">
        <f>SUM(E5:E7)</f>
        <v>12639958</v>
      </c>
      <c r="F8" s="167">
        <f>SUM(F5:F7)</f>
        <v>0</v>
      </c>
      <c r="G8" s="167">
        <f t="shared" si="3"/>
        <v>-5825621</v>
      </c>
      <c r="H8" s="167">
        <f t="shared" si="3"/>
        <v>0</v>
      </c>
      <c r="I8" s="167">
        <f>SUM(C8:H8)</f>
        <v>22587824</v>
      </c>
      <c r="J8" s="167">
        <f t="shared" si="3"/>
        <v>38351</v>
      </c>
      <c r="K8" s="167">
        <f t="shared" si="2"/>
        <v>22626175</v>
      </c>
    </row>
    <row r="9" spans="2:11" s="17" customFormat="1" ht="13.8" hidden="1" x14ac:dyDescent="0.25">
      <c r="B9" s="290" t="s">
        <v>138</v>
      </c>
      <c r="C9" s="287">
        <v>0</v>
      </c>
      <c r="D9" s="287">
        <v>0</v>
      </c>
      <c r="E9" s="287">
        <v>0</v>
      </c>
      <c r="F9" s="287">
        <v>0</v>
      </c>
      <c r="G9" s="294">
        <v>0</v>
      </c>
      <c r="H9" s="294">
        <v>0</v>
      </c>
      <c r="I9" s="244">
        <f t="shared" si="1"/>
        <v>0</v>
      </c>
      <c r="J9" s="294">
        <v>0</v>
      </c>
      <c r="K9" s="244">
        <f t="shared" si="2"/>
        <v>0</v>
      </c>
    </row>
    <row r="10" spans="2:11" x14ac:dyDescent="0.25">
      <c r="B10" s="410" t="s">
        <v>944</v>
      </c>
      <c r="C10" s="295">
        <v>0</v>
      </c>
      <c r="D10" s="295">
        <v>0</v>
      </c>
      <c r="E10" s="295">
        <v>0</v>
      </c>
      <c r="F10" s="295">
        <v>0</v>
      </c>
      <c r="G10" s="291">
        <v>-24509</v>
      </c>
      <c r="H10" s="291">
        <v>0</v>
      </c>
      <c r="I10" s="244">
        <f t="shared" si="1"/>
        <v>-24509</v>
      </c>
      <c r="J10" s="244">
        <v>121978</v>
      </c>
      <c r="K10" s="244">
        <f t="shared" si="2"/>
        <v>97469</v>
      </c>
    </row>
    <row r="11" spans="2:11" s="17" customFormat="1" ht="13.8" hidden="1" x14ac:dyDescent="0.25">
      <c r="B11" s="410" t="s">
        <v>594</v>
      </c>
      <c r="C11" s="287">
        <v>0</v>
      </c>
      <c r="D11" s="287"/>
      <c r="E11" s="287">
        <v>0</v>
      </c>
      <c r="F11" s="287">
        <v>0</v>
      </c>
      <c r="G11" s="294">
        <v>0</v>
      </c>
      <c r="H11" s="294">
        <v>0</v>
      </c>
      <c r="I11" s="244">
        <f>SUM(C11:H11)</f>
        <v>0</v>
      </c>
      <c r="J11" s="294">
        <v>0</v>
      </c>
      <c r="K11" s="244">
        <f>I11+J11</f>
        <v>0</v>
      </c>
    </row>
    <row r="12" spans="2:11" s="17" customFormat="1" ht="13.8" hidden="1" x14ac:dyDescent="0.25">
      <c r="B12" s="290" t="s">
        <v>8</v>
      </c>
      <c r="C12" s="287">
        <v>0</v>
      </c>
      <c r="D12" s="287">
        <v>0</v>
      </c>
      <c r="E12" s="291">
        <v>0</v>
      </c>
      <c r="F12" s="287">
        <v>0</v>
      </c>
      <c r="G12" s="294">
        <v>0</v>
      </c>
      <c r="H12" s="294">
        <v>0</v>
      </c>
      <c r="I12" s="244">
        <f t="shared" ref="I12:I20" si="4">SUM(C12:H12)</f>
        <v>0</v>
      </c>
      <c r="J12" s="294">
        <v>0</v>
      </c>
      <c r="K12" s="244">
        <f t="shared" si="2"/>
        <v>0</v>
      </c>
    </row>
    <row r="13" spans="2:11" s="17" customFormat="1" ht="13.8" hidden="1" x14ac:dyDescent="0.25">
      <c r="B13" s="410" t="s">
        <v>828</v>
      </c>
      <c r="C13" s="287">
        <v>0</v>
      </c>
      <c r="D13" s="287">
        <v>0</v>
      </c>
      <c r="E13" s="291">
        <v>0</v>
      </c>
      <c r="F13" s="287">
        <v>0</v>
      </c>
      <c r="G13" s="294">
        <v>0</v>
      </c>
      <c r="H13" s="294">
        <v>0</v>
      </c>
      <c r="I13" s="244">
        <f t="shared" si="4"/>
        <v>0</v>
      </c>
      <c r="J13" s="294">
        <v>0</v>
      </c>
      <c r="K13" s="244">
        <f t="shared" si="2"/>
        <v>0</v>
      </c>
    </row>
    <row r="14" spans="2:11" s="17" customFormat="1" ht="13.8" hidden="1" x14ac:dyDescent="0.25">
      <c r="B14" s="410" t="s">
        <v>720</v>
      </c>
      <c r="C14" s="287">
        <v>0</v>
      </c>
      <c r="D14" s="287"/>
      <c r="E14" s="291">
        <v>0</v>
      </c>
      <c r="F14" s="287"/>
      <c r="G14" s="294">
        <v>0</v>
      </c>
      <c r="H14" s="294">
        <v>0</v>
      </c>
      <c r="I14" s="244">
        <f t="shared" si="4"/>
        <v>0</v>
      </c>
      <c r="J14" s="294"/>
      <c r="K14" s="244">
        <f t="shared" si="2"/>
        <v>0</v>
      </c>
    </row>
    <row r="15" spans="2:11" x14ac:dyDescent="0.25">
      <c r="B15" s="410" t="s">
        <v>851</v>
      </c>
      <c r="C15" s="291">
        <v>0</v>
      </c>
      <c r="D15" s="291">
        <v>0</v>
      </c>
      <c r="E15" s="291">
        <v>0</v>
      </c>
      <c r="F15" s="291">
        <v>0</v>
      </c>
      <c r="G15" s="291">
        <v>0</v>
      </c>
      <c r="H15" s="291">
        <v>-1350152</v>
      </c>
      <c r="I15" s="244">
        <f t="shared" si="4"/>
        <v>-1350152</v>
      </c>
      <c r="J15" s="244">
        <v>-27929</v>
      </c>
      <c r="K15" s="244">
        <f t="shared" si="2"/>
        <v>-1378081</v>
      </c>
    </row>
    <row r="16" spans="2:11" hidden="1" x14ac:dyDescent="0.25">
      <c r="B16" s="410" t="s">
        <v>594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44">
        <f t="shared" si="4"/>
        <v>0</v>
      </c>
      <c r="J16" s="244">
        <v>0</v>
      </c>
      <c r="K16" s="244">
        <f t="shared" si="2"/>
        <v>0</v>
      </c>
    </row>
    <row r="17" spans="2:11" hidden="1" x14ac:dyDescent="0.25">
      <c r="B17" s="410" t="s">
        <v>596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44">
        <f t="shared" si="4"/>
        <v>0</v>
      </c>
      <c r="J17" s="244">
        <v>0</v>
      </c>
      <c r="K17" s="244">
        <f t="shared" si="2"/>
        <v>0</v>
      </c>
    </row>
    <row r="18" spans="2:11" hidden="1" x14ac:dyDescent="0.25">
      <c r="B18" s="410" t="s">
        <v>595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44">
        <f t="shared" si="4"/>
        <v>0</v>
      </c>
      <c r="J18" s="244">
        <v>0</v>
      </c>
      <c r="K18" s="244">
        <f t="shared" si="2"/>
        <v>0</v>
      </c>
    </row>
    <row r="19" spans="2:11" hidden="1" x14ac:dyDescent="0.25">
      <c r="B19" s="410" t="s">
        <v>851</v>
      </c>
      <c r="C19" s="291">
        <v>0</v>
      </c>
      <c r="D19" s="291">
        <v>0</v>
      </c>
      <c r="E19" s="291">
        <v>0</v>
      </c>
      <c r="F19" s="291">
        <v>0</v>
      </c>
      <c r="G19" s="291">
        <v>0</v>
      </c>
      <c r="H19" s="291"/>
      <c r="I19" s="244">
        <f t="shared" si="4"/>
        <v>0</v>
      </c>
      <c r="J19" s="244">
        <v>0</v>
      </c>
      <c r="K19" s="244">
        <f t="shared" si="2"/>
        <v>0</v>
      </c>
    </row>
    <row r="20" spans="2:11" hidden="1" x14ac:dyDescent="0.25">
      <c r="B20" s="410" t="s">
        <v>641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44">
        <f t="shared" si="4"/>
        <v>0</v>
      </c>
      <c r="J20" s="244"/>
      <c r="K20" s="244">
        <f t="shared" si="2"/>
        <v>0</v>
      </c>
    </row>
    <row r="21" spans="2:11" hidden="1" x14ac:dyDescent="0.25">
      <c r="B21" s="410" t="s">
        <v>594</v>
      </c>
      <c r="C21" s="291">
        <v>0</v>
      </c>
      <c r="D21" s="291"/>
      <c r="E21" s="291">
        <v>0</v>
      </c>
      <c r="F21" s="291">
        <v>0</v>
      </c>
      <c r="G21" s="291">
        <v>0</v>
      </c>
      <c r="H21" s="291">
        <v>0</v>
      </c>
      <c r="I21" s="244">
        <f t="shared" ref="I21:I22" si="5">SUM(C21:H21)</f>
        <v>0</v>
      </c>
      <c r="J21" s="291">
        <v>0</v>
      </c>
      <c r="K21" s="244">
        <f t="shared" si="2"/>
        <v>0</v>
      </c>
    </row>
    <row r="22" spans="2:11" hidden="1" x14ac:dyDescent="0.25">
      <c r="B22" s="410" t="s">
        <v>822</v>
      </c>
      <c r="C22" s="291">
        <v>0</v>
      </c>
      <c r="D22" s="291">
        <v>0</v>
      </c>
      <c r="E22" s="291">
        <v>0</v>
      </c>
      <c r="F22" s="291"/>
      <c r="G22" s="291">
        <v>0</v>
      </c>
      <c r="H22" s="291">
        <v>0</v>
      </c>
      <c r="I22" s="244">
        <f t="shared" si="5"/>
        <v>0</v>
      </c>
      <c r="J22" s="291">
        <v>0</v>
      </c>
      <c r="K22" s="244">
        <f t="shared" si="2"/>
        <v>0</v>
      </c>
    </row>
    <row r="23" spans="2:11" x14ac:dyDescent="0.25">
      <c r="B23" s="289" t="s">
        <v>852</v>
      </c>
      <c r="C23" s="167">
        <f>SUM(C8:C22)</f>
        <v>248578</v>
      </c>
      <c r="D23" s="167">
        <f t="shared" ref="D23:I23" si="6">SUM(D8:D22)</f>
        <v>15524909</v>
      </c>
      <c r="E23" s="167">
        <f t="shared" si="6"/>
        <v>12639958</v>
      </c>
      <c r="F23" s="167">
        <f t="shared" si="6"/>
        <v>0</v>
      </c>
      <c r="G23" s="167">
        <f t="shared" si="6"/>
        <v>-5850130</v>
      </c>
      <c r="H23" s="167">
        <f t="shared" si="6"/>
        <v>-1350152</v>
      </c>
      <c r="I23" s="167">
        <f t="shared" si="6"/>
        <v>21213163</v>
      </c>
      <c r="J23" s="167">
        <f>SUM(J8:J22)</f>
        <v>132400</v>
      </c>
      <c r="K23" s="167">
        <f>SUM(K8:K22)</f>
        <v>21345563</v>
      </c>
    </row>
    <row r="24" spans="2:11" x14ac:dyDescent="0.25">
      <c r="B24" s="765" t="s">
        <v>757</v>
      </c>
      <c r="C24" s="766"/>
      <c r="D24" s="766"/>
      <c r="E24" s="766"/>
      <c r="F24" s="766"/>
      <c r="G24" s="766"/>
      <c r="H24" s="766"/>
      <c r="I24" s="766"/>
      <c r="J24" s="766"/>
      <c r="K24" s="766"/>
    </row>
    <row r="25" spans="2:11" x14ac:dyDescent="0.25">
      <c r="B25" s="289" t="s">
        <v>758</v>
      </c>
      <c r="C25" s="167">
        <v>229155</v>
      </c>
      <c r="D25" s="167">
        <v>9915597</v>
      </c>
      <c r="E25" s="167">
        <v>14156189</v>
      </c>
      <c r="F25" s="167">
        <v>0</v>
      </c>
      <c r="G25" s="167">
        <v>386616</v>
      </c>
      <c r="H25" s="167">
        <v>0</v>
      </c>
      <c r="I25" s="167">
        <f>SUM(C25:H25)</f>
        <v>24687557</v>
      </c>
      <c r="J25" s="167">
        <v>1133956</v>
      </c>
      <c r="K25" s="167">
        <f>I25+J25</f>
        <v>25821513</v>
      </c>
    </row>
    <row r="26" spans="2:11" x14ac:dyDescent="0.25">
      <c r="B26" s="540" t="s">
        <v>849</v>
      </c>
      <c r="C26" s="291">
        <v>0</v>
      </c>
      <c r="D26" s="291">
        <v>0</v>
      </c>
      <c r="E26" s="291">
        <v>0</v>
      </c>
      <c r="F26" s="291">
        <v>0</v>
      </c>
      <c r="G26" s="291">
        <v>-189555</v>
      </c>
      <c r="H26" s="291">
        <v>0</v>
      </c>
      <c r="I26" s="244">
        <f>SUM(C26:H26)</f>
        <v>-189555</v>
      </c>
      <c r="J26" s="244">
        <v>0</v>
      </c>
      <c r="K26" s="244">
        <f t="shared" ref="K26:K27" si="7">I26+J26</f>
        <v>-189555</v>
      </c>
    </row>
    <row r="27" spans="2:11" x14ac:dyDescent="0.25">
      <c r="B27" s="290" t="s">
        <v>417</v>
      </c>
      <c r="C27" s="291">
        <v>0</v>
      </c>
      <c r="D27" s="291">
        <v>0</v>
      </c>
      <c r="E27" s="291">
        <v>0</v>
      </c>
      <c r="F27" s="291">
        <v>0</v>
      </c>
      <c r="G27" s="291">
        <v>-2546966</v>
      </c>
      <c r="H27" s="291">
        <v>0</v>
      </c>
      <c r="I27" s="244">
        <f>SUM(C27:H27)</f>
        <v>-2546966</v>
      </c>
      <c r="J27" s="244">
        <v>0</v>
      </c>
      <c r="K27" s="244">
        <f t="shared" si="7"/>
        <v>-2546966</v>
      </c>
    </row>
    <row r="28" spans="2:11" x14ac:dyDescent="0.25">
      <c r="B28" s="292" t="s">
        <v>418</v>
      </c>
      <c r="C28" s="167">
        <f>SUM(C25:C27)</f>
        <v>229155</v>
      </c>
      <c r="D28" s="167">
        <f t="shared" ref="D28:J28" si="8">SUM(D25:D27)</f>
        <v>9915597</v>
      </c>
      <c r="E28" s="167">
        <f t="shared" si="8"/>
        <v>14156189</v>
      </c>
      <c r="F28" s="167">
        <f t="shared" si="8"/>
        <v>0</v>
      </c>
      <c r="G28" s="167">
        <f t="shared" si="8"/>
        <v>-2349905</v>
      </c>
      <c r="H28" s="167">
        <f t="shared" si="8"/>
        <v>0</v>
      </c>
      <c r="I28" s="167">
        <f t="shared" si="8"/>
        <v>21951036</v>
      </c>
      <c r="J28" s="167">
        <f t="shared" si="8"/>
        <v>1133956</v>
      </c>
      <c r="K28" s="167">
        <f>I28+J28</f>
        <v>23084992</v>
      </c>
    </row>
    <row r="29" spans="2:11" x14ac:dyDescent="0.25">
      <c r="B29" s="290" t="s">
        <v>138</v>
      </c>
      <c r="C29" s="287">
        <v>19423</v>
      </c>
      <c r="D29" s="287">
        <v>2570718</v>
      </c>
      <c r="E29" s="244">
        <v>0</v>
      </c>
      <c r="F29" s="287">
        <v>0</v>
      </c>
      <c r="G29" s="294">
        <v>0</v>
      </c>
      <c r="H29" s="294">
        <v>0</v>
      </c>
      <c r="I29" s="244">
        <f t="shared" ref="I29:I39" si="9">SUM(C29:H29)</f>
        <v>2590141</v>
      </c>
      <c r="J29" s="294">
        <v>0</v>
      </c>
      <c r="K29" s="244">
        <f>I29+J29</f>
        <v>2590141</v>
      </c>
    </row>
    <row r="30" spans="2:11" x14ac:dyDescent="0.25">
      <c r="B30" s="410" t="s">
        <v>850</v>
      </c>
      <c r="C30" s="287">
        <v>0</v>
      </c>
      <c r="D30" s="287">
        <v>1044010</v>
      </c>
      <c r="E30" s="287"/>
      <c r="F30" s="287">
        <v>0</v>
      </c>
      <c r="G30" s="294">
        <v>-1788241</v>
      </c>
      <c r="H30" s="294">
        <v>0</v>
      </c>
      <c r="I30" s="244">
        <f t="shared" si="9"/>
        <v>-744231</v>
      </c>
      <c r="J30" s="294">
        <v>-1044010</v>
      </c>
      <c r="K30" s="244">
        <f t="shared" ref="K30:K39" si="10">I30+J30</f>
        <v>-1788241</v>
      </c>
    </row>
    <row r="31" spans="2:11" x14ac:dyDescent="0.25">
      <c r="B31" s="290" t="s">
        <v>8</v>
      </c>
      <c r="C31" s="287">
        <v>0</v>
      </c>
      <c r="D31" s="287">
        <v>386616</v>
      </c>
      <c r="E31" s="287"/>
      <c r="F31" s="287">
        <v>0</v>
      </c>
      <c r="G31" s="294">
        <v>-386616</v>
      </c>
      <c r="H31" s="294">
        <v>0</v>
      </c>
      <c r="I31" s="244">
        <f t="shared" si="9"/>
        <v>0</v>
      </c>
      <c r="J31" s="294">
        <v>0</v>
      </c>
      <c r="K31" s="244">
        <f t="shared" si="10"/>
        <v>0</v>
      </c>
    </row>
    <row r="32" spans="2:11" x14ac:dyDescent="0.25">
      <c r="B32" s="410" t="s">
        <v>828</v>
      </c>
      <c r="C32" s="287">
        <v>0</v>
      </c>
      <c r="D32" s="287">
        <v>1516231</v>
      </c>
      <c r="E32" s="287">
        <v>-1516231</v>
      </c>
      <c r="F32" s="287">
        <v>0</v>
      </c>
      <c r="G32" s="294">
        <v>0</v>
      </c>
      <c r="H32" s="294">
        <v>0</v>
      </c>
      <c r="I32" s="244">
        <f t="shared" si="9"/>
        <v>0</v>
      </c>
      <c r="J32" s="294">
        <v>0</v>
      </c>
      <c r="K32" s="244">
        <f t="shared" si="10"/>
        <v>0</v>
      </c>
    </row>
    <row r="33" spans="2:11" x14ac:dyDescent="0.25">
      <c r="B33" s="410" t="s">
        <v>760</v>
      </c>
      <c r="C33" s="287">
        <v>0</v>
      </c>
      <c r="D33" s="287">
        <v>0</v>
      </c>
      <c r="E33" s="287">
        <v>0</v>
      </c>
      <c r="F33" s="287">
        <v>0</v>
      </c>
      <c r="G33" s="294">
        <v>0</v>
      </c>
      <c r="H33" s="294">
        <f>-1624050+323191</f>
        <v>-1300859</v>
      </c>
      <c r="I33" s="244">
        <f t="shared" si="9"/>
        <v>-1300859</v>
      </c>
      <c r="J33" s="294">
        <v>-51595</v>
      </c>
      <c r="K33" s="244">
        <f t="shared" si="10"/>
        <v>-1352454</v>
      </c>
    </row>
    <row r="34" spans="2:11" x14ac:dyDescent="0.25">
      <c r="B34" s="410" t="s">
        <v>594</v>
      </c>
      <c r="C34" s="287">
        <v>0</v>
      </c>
      <c r="D34" s="287">
        <v>91737</v>
      </c>
      <c r="E34" s="287"/>
      <c r="F34" s="287">
        <v>0</v>
      </c>
      <c r="G34" s="294">
        <v>0</v>
      </c>
      <c r="H34" s="294">
        <v>0</v>
      </c>
      <c r="I34" s="244">
        <f t="shared" si="9"/>
        <v>91737</v>
      </c>
      <c r="J34" s="294"/>
      <c r="K34" s="244">
        <f t="shared" si="10"/>
        <v>91737</v>
      </c>
    </row>
    <row r="35" spans="2:11" s="17" customFormat="1" ht="13.8" hidden="1" x14ac:dyDescent="0.25">
      <c r="B35" s="410" t="s">
        <v>718</v>
      </c>
      <c r="C35" s="477">
        <v>0</v>
      </c>
      <c r="D35" s="477"/>
      <c r="E35" s="295">
        <v>0</v>
      </c>
      <c r="F35" s="477">
        <v>0</v>
      </c>
      <c r="G35" s="291">
        <v>0</v>
      </c>
      <c r="H35" s="291">
        <v>0</v>
      </c>
      <c r="I35" s="244">
        <f t="shared" si="9"/>
        <v>0</v>
      </c>
      <c r="J35" s="244"/>
      <c r="K35" s="244">
        <f t="shared" si="10"/>
        <v>0</v>
      </c>
    </row>
    <row r="36" spans="2:11" s="17" customFormat="1" ht="13.8" hidden="1" x14ac:dyDescent="0.25">
      <c r="B36" s="410" t="s">
        <v>645</v>
      </c>
      <c r="C36" s="477">
        <v>0</v>
      </c>
      <c r="D36" s="477">
        <v>0</v>
      </c>
      <c r="E36" s="295">
        <v>0</v>
      </c>
      <c r="F36" s="477">
        <v>0</v>
      </c>
      <c r="G36" s="244">
        <v>0</v>
      </c>
      <c r="H36" s="291">
        <v>0</v>
      </c>
      <c r="I36" s="244">
        <f t="shared" si="9"/>
        <v>0</v>
      </c>
      <c r="J36" s="244">
        <v>0</v>
      </c>
      <c r="K36" s="244">
        <f t="shared" si="10"/>
        <v>0</v>
      </c>
    </row>
    <row r="37" spans="2:11" s="17" customFormat="1" ht="13.8" hidden="1" x14ac:dyDescent="0.25">
      <c r="B37" s="410" t="s">
        <v>760</v>
      </c>
      <c r="C37" s="244">
        <v>0</v>
      </c>
      <c r="D37" s="244">
        <v>0</v>
      </c>
      <c r="E37" s="291">
        <v>0</v>
      </c>
      <c r="F37" s="291">
        <v>0</v>
      </c>
      <c r="G37" s="291">
        <v>0</v>
      </c>
      <c r="H37" s="291"/>
      <c r="I37" s="244">
        <f t="shared" si="9"/>
        <v>0</v>
      </c>
      <c r="J37" s="244">
        <v>0</v>
      </c>
      <c r="K37" s="244">
        <f t="shared" si="10"/>
        <v>0</v>
      </c>
    </row>
    <row r="38" spans="2:11" s="17" customFormat="1" ht="13.8" hidden="1" x14ac:dyDescent="0.25">
      <c r="B38" s="410" t="s">
        <v>641</v>
      </c>
      <c r="C38" s="244">
        <v>0</v>
      </c>
      <c r="D38" s="244">
        <v>0</v>
      </c>
      <c r="E38" s="291">
        <v>0</v>
      </c>
      <c r="F38" s="291">
        <v>0</v>
      </c>
      <c r="G38" s="291">
        <v>0</v>
      </c>
      <c r="H38" s="291">
        <v>0</v>
      </c>
      <c r="I38" s="244">
        <f t="shared" si="9"/>
        <v>0</v>
      </c>
      <c r="J38" s="244"/>
      <c r="K38" s="244">
        <f t="shared" si="10"/>
        <v>0</v>
      </c>
    </row>
    <row r="39" spans="2:11" s="17" customFormat="1" ht="13.8" hidden="1" x14ac:dyDescent="0.25">
      <c r="B39" s="410" t="s">
        <v>680</v>
      </c>
      <c r="C39" s="244">
        <v>0</v>
      </c>
      <c r="D39" s="244">
        <v>0</v>
      </c>
      <c r="E39" s="291">
        <v>0</v>
      </c>
      <c r="F39" s="291">
        <v>0</v>
      </c>
      <c r="G39" s="291">
        <v>0</v>
      </c>
      <c r="H39" s="291">
        <v>0</v>
      </c>
      <c r="I39" s="244">
        <f t="shared" si="9"/>
        <v>0</v>
      </c>
      <c r="J39" s="244">
        <v>0</v>
      </c>
      <c r="K39" s="244">
        <f t="shared" si="10"/>
        <v>0</v>
      </c>
    </row>
    <row r="40" spans="2:11" x14ac:dyDescent="0.25">
      <c r="B40" s="289" t="s">
        <v>759</v>
      </c>
      <c r="C40" s="167">
        <f>SUM(C28:C39)</f>
        <v>248578</v>
      </c>
      <c r="D40" s="167">
        <f>SUM(D28:D39)</f>
        <v>15524909</v>
      </c>
      <c r="E40" s="167">
        <f>SUM(E28:E39)</f>
        <v>12639958</v>
      </c>
      <c r="F40" s="167">
        <f t="shared" ref="F40:H40" si="11">SUM(F28:F39)</f>
        <v>0</v>
      </c>
      <c r="G40" s="167">
        <f t="shared" si="11"/>
        <v>-4524762</v>
      </c>
      <c r="H40" s="167">
        <f t="shared" si="11"/>
        <v>-1300859</v>
      </c>
      <c r="I40" s="167">
        <f>SUM(I28:I39)</f>
        <v>22587824</v>
      </c>
      <c r="J40" s="167">
        <f>SUM(J28:J39)</f>
        <v>38351</v>
      </c>
      <c r="K40" s="167">
        <f>I40+J40</f>
        <v>22626175</v>
      </c>
    </row>
    <row r="43" spans="2:11" x14ac:dyDescent="0.25">
      <c r="E43" s="707"/>
    </row>
  </sheetData>
  <mergeCells count="2">
    <mergeCell ref="B4:K4"/>
    <mergeCell ref="B24:K24"/>
  </mergeCells>
  <phoneticPr fontId="31" type="noConversion"/>
  <pageMargins left="0.7" right="0.7" top="0.75" bottom="0.75" header="0.3" footer="0.3"/>
  <pageSetup paperSize="9" scale="7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  <pageSetUpPr fitToPage="1"/>
  </sheetPr>
  <dimension ref="A1:G71"/>
  <sheetViews>
    <sheetView showGridLines="0" view="pageBreakPreview" topLeftCell="A26" zoomScaleNormal="75" zoomScaleSheetLayoutView="80" workbookViewId="0">
      <selection activeCell="G43" sqref="G43"/>
    </sheetView>
  </sheetViews>
  <sheetFormatPr defaultColWidth="9.33203125" defaultRowHeight="13.2" x14ac:dyDescent="0.25"/>
  <cols>
    <col min="1" max="1" width="3.44140625" style="14" customWidth="1"/>
    <col min="2" max="2" width="71.33203125" style="14" bestFit="1" customWidth="1"/>
    <col min="3" max="4" width="17.33203125" style="326" bestFit="1" customWidth="1"/>
    <col min="5" max="16384" width="9.33203125" style="14"/>
  </cols>
  <sheetData>
    <row r="1" spans="1:4" x14ac:dyDescent="0.25">
      <c r="B1" s="39"/>
    </row>
    <row r="2" spans="1:4" ht="16.8" x14ac:dyDescent="0.25">
      <c r="B2" s="201" t="s">
        <v>121</v>
      </c>
      <c r="C2" s="327"/>
      <c r="D2" s="327"/>
    </row>
    <row r="3" spans="1:4" s="15" customFormat="1" ht="20.399999999999999" x14ac:dyDescent="0.25">
      <c r="A3" s="18"/>
      <c r="B3" s="190"/>
      <c r="C3" s="328" t="str">
        <f>CONCATENATE("za okres ",'Dane podstawowe'!$B$7)</f>
        <v>za okres 01.01.2020-31.12.2020</v>
      </c>
      <c r="D3" s="328" t="str">
        <f>CONCATENATE("za okres ",'Dane podstawowe'!$B$12)</f>
        <v>za okres 01.01.2019-31.12.2019</v>
      </c>
    </row>
    <row r="4" spans="1:4" s="18" customFormat="1" x14ac:dyDescent="0.25">
      <c r="B4" s="767" t="s">
        <v>345</v>
      </c>
      <c r="C4" s="767"/>
      <c r="D4" s="767"/>
    </row>
    <row r="5" spans="1:4" s="17" customFormat="1" ht="13.8" x14ac:dyDescent="0.25">
      <c r="B5" s="296" t="s">
        <v>730</v>
      </c>
      <c r="C5" s="282">
        <f>RZiS!D26</f>
        <v>-1750694</v>
      </c>
      <c r="D5" s="282">
        <f>RZiS!E26</f>
        <v>-1138038</v>
      </c>
    </row>
    <row r="6" spans="1:4" s="18" customFormat="1" x14ac:dyDescent="0.25">
      <c r="B6" s="296" t="s">
        <v>346</v>
      </c>
      <c r="C6" s="284">
        <f>SUM(C7:C19)</f>
        <v>8106209</v>
      </c>
      <c r="D6" s="284">
        <f>SUM(D7:D19)</f>
        <v>4611337</v>
      </c>
    </row>
    <row r="7" spans="1:4" s="18" customFormat="1" hidden="1" x14ac:dyDescent="0.25">
      <c r="B7" s="297" t="s">
        <v>420</v>
      </c>
      <c r="C7" s="406">
        <v>0</v>
      </c>
      <c r="D7" s="406">
        <v>0</v>
      </c>
    </row>
    <row r="8" spans="1:4" s="18" customFormat="1" x14ac:dyDescent="0.25">
      <c r="B8" s="562" t="s">
        <v>30</v>
      </c>
      <c r="C8" s="406">
        <v>4387695</v>
      </c>
      <c r="D8" s="406">
        <v>4175039</v>
      </c>
    </row>
    <row r="9" spans="1:4" s="18" customFormat="1" hidden="1" x14ac:dyDescent="0.25">
      <c r="B9" s="562" t="s">
        <v>347</v>
      </c>
      <c r="C9" s="406">
        <v>0</v>
      </c>
      <c r="D9" s="406">
        <v>0</v>
      </c>
    </row>
    <row r="10" spans="1:4" s="17" customFormat="1" ht="13.8" x14ac:dyDescent="0.25">
      <c r="B10" s="562" t="s">
        <v>348</v>
      </c>
      <c r="C10" s="287">
        <v>33668</v>
      </c>
      <c r="D10" s="287">
        <v>122423</v>
      </c>
    </row>
    <row r="11" spans="1:4" s="18" customFormat="1" x14ac:dyDescent="0.25">
      <c r="B11" s="562" t="s">
        <v>349</v>
      </c>
      <c r="C11" s="406">
        <v>1310308</v>
      </c>
      <c r="D11" s="406">
        <f>721103+43477</f>
        <v>764580</v>
      </c>
    </row>
    <row r="12" spans="1:4" s="18" customFormat="1" x14ac:dyDescent="0.25">
      <c r="B12" s="562" t="s">
        <v>946</v>
      </c>
      <c r="C12" s="406">
        <v>373883</v>
      </c>
      <c r="D12" s="406">
        <v>127863</v>
      </c>
    </row>
    <row r="13" spans="1:4" s="18" customFormat="1" x14ac:dyDescent="0.25">
      <c r="B13" s="562" t="s">
        <v>350</v>
      </c>
      <c r="C13" s="406">
        <v>384167</v>
      </c>
      <c r="D13" s="406">
        <f>197683-249988</f>
        <v>-52305</v>
      </c>
    </row>
    <row r="14" spans="1:4" s="18" customFormat="1" x14ac:dyDescent="0.25">
      <c r="B14" s="562" t="s">
        <v>731</v>
      </c>
      <c r="C14" s="287">
        <v>262</v>
      </c>
      <c r="D14" s="287">
        <v>74658</v>
      </c>
    </row>
    <row r="15" spans="1:4" s="18" customFormat="1" x14ac:dyDescent="0.25">
      <c r="B15" s="562" t="s">
        <v>732</v>
      </c>
      <c r="C15" s="406">
        <v>942485</v>
      </c>
      <c r="D15" s="406">
        <f>370722+149796</f>
        <v>520518</v>
      </c>
    </row>
    <row r="16" spans="1:4" s="16" customFormat="1" ht="20.399999999999999" x14ac:dyDescent="0.25">
      <c r="B16" s="562" t="s">
        <v>733</v>
      </c>
      <c r="C16" s="287">
        <v>-167945</v>
      </c>
      <c r="D16" s="287">
        <v>-818532</v>
      </c>
    </row>
    <row r="17" spans="2:4" s="18" customFormat="1" x14ac:dyDescent="0.25">
      <c r="B17" s="562" t="s">
        <v>734</v>
      </c>
      <c r="C17" s="406">
        <v>713471</v>
      </c>
      <c r="D17" s="406">
        <f>-65086-133188</f>
        <v>-198274</v>
      </c>
    </row>
    <row r="18" spans="2:4" s="18" customFormat="1" x14ac:dyDescent="0.25">
      <c r="B18" s="562" t="s">
        <v>735</v>
      </c>
      <c r="C18" s="406">
        <v>97469</v>
      </c>
      <c r="D18" s="406">
        <v>-123597</v>
      </c>
    </row>
    <row r="19" spans="2:4" s="18" customFormat="1" x14ac:dyDescent="0.25">
      <c r="B19" s="413" t="s">
        <v>736</v>
      </c>
      <c r="C19" s="406">
        <v>30746</v>
      </c>
      <c r="D19" s="406">
        <f>-214416+233380</f>
        <v>18964</v>
      </c>
    </row>
    <row r="20" spans="2:4" s="18" customFormat="1" hidden="1" x14ac:dyDescent="0.25">
      <c r="B20" s="296" t="s">
        <v>351</v>
      </c>
      <c r="C20" s="282"/>
      <c r="D20" s="282"/>
    </row>
    <row r="21" spans="2:4" s="18" customFormat="1" hidden="1" x14ac:dyDescent="0.25">
      <c r="B21" s="413" t="s">
        <v>352</v>
      </c>
      <c r="C21" s="287"/>
      <c r="D21" s="287"/>
    </row>
    <row r="22" spans="2:4" s="18" customFormat="1" hidden="1" x14ac:dyDescent="0.25">
      <c r="B22" s="413" t="s">
        <v>597</v>
      </c>
      <c r="C22" s="287">
        <v>0</v>
      </c>
      <c r="D22" s="287">
        <v>0</v>
      </c>
    </row>
    <row r="23" spans="2:4" s="18" customFormat="1" x14ac:dyDescent="0.25">
      <c r="B23" s="298" t="s">
        <v>285</v>
      </c>
      <c r="C23" s="282">
        <f>SUM(C5:C6)</f>
        <v>6355515</v>
      </c>
      <c r="D23" s="282">
        <f>SUM(D5:D6)</f>
        <v>3473299</v>
      </c>
    </row>
    <row r="24" spans="2:4" s="18" customFormat="1" x14ac:dyDescent="0.25">
      <c r="B24" s="429" t="s">
        <v>354</v>
      </c>
      <c r="C24" s="429"/>
      <c r="D24" s="429"/>
    </row>
    <row r="25" spans="2:4" s="18" customFormat="1" x14ac:dyDescent="0.25">
      <c r="B25" s="299" t="s">
        <v>364</v>
      </c>
      <c r="C25" s="293">
        <f>SUM(C26:C30)</f>
        <v>109905</v>
      </c>
      <c r="D25" s="293">
        <f>SUM(D26:D30)</f>
        <v>288463</v>
      </c>
    </row>
    <row r="26" spans="2:4" s="18" customFormat="1" x14ac:dyDescent="0.25">
      <c r="B26" s="562" t="s">
        <v>737</v>
      </c>
      <c r="C26" s="406">
        <v>2885</v>
      </c>
      <c r="D26" s="406">
        <v>1</v>
      </c>
    </row>
    <row r="27" spans="2:4" s="18" customFormat="1" hidden="1" x14ac:dyDescent="0.25">
      <c r="B27" s="562" t="s">
        <v>738</v>
      </c>
      <c r="C27" s="406">
        <v>0</v>
      </c>
      <c r="D27" s="406">
        <v>0</v>
      </c>
    </row>
    <row r="28" spans="2:4" s="18" customFormat="1" x14ac:dyDescent="0.25">
      <c r="B28" s="562" t="s">
        <v>739</v>
      </c>
      <c r="C28" s="406">
        <v>107020</v>
      </c>
      <c r="D28" s="406">
        <v>14625</v>
      </c>
    </row>
    <row r="29" spans="2:4" s="18" customFormat="1" hidden="1" x14ac:dyDescent="0.25">
      <c r="B29" s="562" t="s">
        <v>256</v>
      </c>
      <c r="C29" s="287">
        <v>0</v>
      </c>
      <c r="D29" s="287">
        <v>0</v>
      </c>
    </row>
    <row r="30" spans="2:4" s="18" customFormat="1" x14ac:dyDescent="0.25">
      <c r="B30" s="562" t="s">
        <v>740</v>
      </c>
      <c r="C30" s="406">
        <v>0</v>
      </c>
      <c r="D30" s="406">
        <v>273837</v>
      </c>
    </row>
    <row r="31" spans="2:4" s="18" customFormat="1" x14ac:dyDescent="0.25">
      <c r="B31" s="296" t="s">
        <v>365</v>
      </c>
      <c r="C31" s="282">
        <f>SUM(C32:C35)</f>
        <v>2985106</v>
      </c>
      <c r="D31" s="282">
        <f>SUM(D32:D35)</f>
        <v>3351149</v>
      </c>
    </row>
    <row r="32" spans="2:4" s="18" customFormat="1" x14ac:dyDescent="0.25">
      <c r="B32" s="562" t="s">
        <v>741</v>
      </c>
      <c r="C32" s="287">
        <v>2914856</v>
      </c>
      <c r="D32" s="287">
        <v>3300889</v>
      </c>
    </row>
    <row r="33" spans="2:7" s="28" customFormat="1" ht="11.4" hidden="1" x14ac:dyDescent="0.25">
      <c r="B33" s="562" t="s">
        <v>742</v>
      </c>
      <c r="C33" s="406">
        <v>0</v>
      </c>
      <c r="D33" s="406">
        <v>0</v>
      </c>
    </row>
    <row r="34" spans="2:7" s="16" customFormat="1" ht="13.8" hidden="1" x14ac:dyDescent="0.25">
      <c r="B34" s="562" t="s">
        <v>743</v>
      </c>
      <c r="C34" s="287">
        <v>0</v>
      </c>
      <c r="D34" s="287">
        <v>0</v>
      </c>
    </row>
    <row r="35" spans="2:7" s="16" customFormat="1" ht="13.8" x14ac:dyDescent="0.25">
      <c r="B35" s="562" t="s">
        <v>744</v>
      </c>
      <c r="C35" s="287">
        <v>70250</v>
      </c>
      <c r="D35" s="287">
        <v>50260</v>
      </c>
    </row>
    <row r="36" spans="2:7" s="18" customFormat="1" x14ac:dyDescent="0.25">
      <c r="B36" s="298" t="s">
        <v>286</v>
      </c>
      <c r="C36" s="282">
        <f>C25-C31</f>
        <v>-2875201</v>
      </c>
      <c r="D36" s="282">
        <f>D25-D31</f>
        <v>-3062686</v>
      </c>
    </row>
    <row r="37" spans="2:7" s="15" customFormat="1" ht="13.8" x14ac:dyDescent="0.25">
      <c r="B37" s="429" t="s">
        <v>357</v>
      </c>
      <c r="C37" s="429"/>
      <c r="D37" s="429"/>
      <c r="E37" s="16"/>
      <c r="F37" s="16"/>
      <c r="G37" s="16"/>
    </row>
    <row r="38" spans="2:7" s="29" customFormat="1" x14ac:dyDescent="0.25">
      <c r="B38" s="299" t="s">
        <v>364</v>
      </c>
      <c r="C38" s="300">
        <f>SUM(C39:C42)</f>
        <v>1525476</v>
      </c>
      <c r="D38" s="300">
        <f>SUM(D39:D42)</f>
        <v>1399246</v>
      </c>
    </row>
    <row r="39" spans="2:7" s="18" customFormat="1" hidden="1" x14ac:dyDescent="0.25">
      <c r="B39" s="562" t="s">
        <v>745</v>
      </c>
      <c r="C39" s="414">
        <v>0</v>
      </c>
      <c r="D39" s="414">
        <v>0</v>
      </c>
    </row>
    <row r="40" spans="2:7" s="18" customFormat="1" x14ac:dyDescent="0.25">
      <c r="B40" s="562" t="s">
        <v>746</v>
      </c>
      <c r="C40" s="414">
        <v>1525476</v>
      </c>
      <c r="D40" s="414">
        <v>1399246</v>
      </c>
    </row>
    <row r="41" spans="2:7" s="18" customFormat="1" hidden="1" x14ac:dyDescent="0.25">
      <c r="B41" s="562" t="s">
        <v>528</v>
      </c>
      <c r="C41" s="414">
        <v>0</v>
      </c>
      <c r="D41" s="414">
        <v>0</v>
      </c>
    </row>
    <row r="42" spans="2:7" s="18" customFormat="1" hidden="1" x14ac:dyDescent="0.25">
      <c r="B42" s="297" t="s">
        <v>358</v>
      </c>
      <c r="C42" s="414">
        <v>0</v>
      </c>
      <c r="D42" s="414">
        <v>0</v>
      </c>
    </row>
    <row r="43" spans="2:7" s="18" customFormat="1" x14ac:dyDescent="0.25">
      <c r="B43" s="296" t="s">
        <v>365</v>
      </c>
      <c r="C43" s="301">
        <f>SUM(C44:C52)</f>
        <v>2293385</v>
      </c>
      <c r="D43" s="301">
        <f>SUM(D44:D52)</f>
        <v>837478</v>
      </c>
    </row>
    <row r="44" spans="2:7" s="18" customFormat="1" hidden="1" x14ac:dyDescent="0.25">
      <c r="B44" s="297" t="s">
        <v>359</v>
      </c>
      <c r="C44" s="414">
        <v>0</v>
      </c>
      <c r="D44" s="414">
        <v>0</v>
      </c>
    </row>
    <row r="45" spans="2:7" s="18" customFormat="1" hidden="1" x14ac:dyDescent="0.25">
      <c r="B45" s="413" t="s">
        <v>747</v>
      </c>
      <c r="C45" s="414">
        <v>0</v>
      </c>
      <c r="D45" s="414">
        <v>0</v>
      </c>
    </row>
    <row r="46" spans="2:7" s="18" customFormat="1" hidden="1" x14ac:dyDescent="0.25">
      <c r="B46" s="297" t="s">
        <v>139</v>
      </c>
      <c r="C46" s="414">
        <v>0</v>
      </c>
      <c r="D46" s="414">
        <v>0</v>
      </c>
    </row>
    <row r="47" spans="2:7" s="18" customFormat="1" x14ac:dyDescent="0.25">
      <c r="B47" s="413" t="s">
        <v>748</v>
      </c>
      <c r="C47" s="414">
        <v>1255994</v>
      </c>
      <c r="D47" s="414">
        <v>0</v>
      </c>
    </row>
    <row r="48" spans="2:7" s="16" customFormat="1" ht="13.8" hidden="1" x14ac:dyDescent="0.25">
      <c r="B48" s="297" t="s">
        <v>360</v>
      </c>
      <c r="C48" s="415">
        <v>0</v>
      </c>
      <c r="D48" s="415">
        <v>0</v>
      </c>
    </row>
    <row r="49" spans="2:4" s="18" customFormat="1" hidden="1" x14ac:dyDescent="0.25">
      <c r="B49" s="297" t="s">
        <v>361</v>
      </c>
      <c r="C49" s="414">
        <v>0</v>
      </c>
      <c r="D49" s="414">
        <v>0</v>
      </c>
    </row>
    <row r="50" spans="2:4" s="18" customFormat="1" x14ac:dyDescent="0.25">
      <c r="B50" s="413" t="s">
        <v>749</v>
      </c>
      <c r="C50" s="414">
        <v>982918</v>
      </c>
      <c r="D50" s="414">
        <v>762357</v>
      </c>
    </row>
    <row r="51" spans="2:4" s="18" customFormat="1" x14ac:dyDescent="0.25">
      <c r="B51" s="413" t="s">
        <v>750</v>
      </c>
      <c r="C51" s="415">
        <v>54473</v>
      </c>
      <c r="D51" s="415">
        <v>75121</v>
      </c>
    </row>
    <row r="52" spans="2:4" s="18" customFormat="1" hidden="1" x14ac:dyDescent="0.25">
      <c r="B52" s="413" t="s">
        <v>528</v>
      </c>
      <c r="C52" s="415">
        <v>0</v>
      </c>
      <c r="D52" s="415">
        <v>0</v>
      </c>
    </row>
    <row r="53" spans="2:4" s="18" customFormat="1" x14ac:dyDescent="0.25">
      <c r="B53" s="298" t="s">
        <v>287</v>
      </c>
      <c r="C53" s="282">
        <f>C38-C43</f>
        <v>-767909</v>
      </c>
      <c r="D53" s="282">
        <f>D38-D43</f>
        <v>561768</v>
      </c>
    </row>
    <row r="54" spans="2:4" s="18" customFormat="1" x14ac:dyDescent="0.25">
      <c r="B54" s="302" t="s">
        <v>288</v>
      </c>
      <c r="C54" s="293">
        <f>C23+C36+C53</f>
        <v>2712405</v>
      </c>
      <c r="D54" s="293">
        <f>D23+D36+D53</f>
        <v>972381</v>
      </c>
    </row>
    <row r="55" spans="2:4" s="18" customFormat="1" x14ac:dyDescent="0.25">
      <c r="B55" s="302" t="s">
        <v>289</v>
      </c>
      <c r="C55" s="284">
        <f>C58-C57</f>
        <v>2712405</v>
      </c>
      <c r="D55" s="284">
        <f>D58-D57</f>
        <v>972381</v>
      </c>
    </row>
    <row r="56" spans="2:4" s="18" customFormat="1" x14ac:dyDescent="0.25">
      <c r="B56" s="303" t="s">
        <v>363</v>
      </c>
      <c r="C56" s="406"/>
      <c r="D56" s="406"/>
    </row>
    <row r="57" spans="2:4" s="18" customFormat="1" x14ac:dyDescent="0.25">
      <c r="B57" s="302" t="s">
        <v>290</v>
      </c>
      <c r="C57" s="284">
        <v>3239492</v>
      </c>
      <c r="D57" s="284">
        <v>2267111</v>
      </c>
    </row>
    <row r="58" spans="2:4" s="18" customFormat="1" x14ac:dyDescent="0.25">
      <c r="B58" s="302" t="s">
        <v>263</v>
      </c>
      <c r="C58" s="282">
        <f>C54+C57</f>
        <v>5951897</v>
      </c>
      <c r="D58" s="282">
        <f>D54+D57</f>
        <v>3239492</v>
      </c>
    </row>
    <row r="59" spans="2:4" s="21" customFormat="1" x14ac:dyDescent="0.25">
      <c r="B59" s="19"/>
      <c r="C59" s="329"/>
      <c r="D59" s="330"/>
    </row>
    <row r="60" spans="2:4" s="21" customFormat="1" x14ac:dyDescent="0.25">
      <c r="B60" s="19"/>
      <c r="C60" s="329"/>
      <c r="D60" s="330"/>
    </row>
    <row r="61" spans="2:4" s="21" customFormat="1" x14ac:dyDescent="0.25">
      <c r="B61" s="19"/>
      <c r="C61" s="331"/>
      <c r="D61" s="330"/>
    </row>
    <row r="62" spans="2:4" s="21" customFormat="1" x14ac:dyDescent="0.25">
      <c r="B62" s="19"/>
      <c r="C62" s="329"/>
      <c r="D62" s="330"/>
    </row>
    <row r="63" spans="2:4" s="21" customFormat="1" x14ac:dyDescent="0.25">
      <c r="B63" s="19"/>
      <c r="C63" s="329"/>
      <c r="D63" s="330"/>
    </row>
    <row r="64" spans="2:4" s="21" customFormat="1" x14ac:dyDescent="0.25">
      <c r="B64" s="19"/>
      <c r="C64" s="331"/>
      <c r="D64" s="330"/>
    </row>
    <row r="65" spans="2:4" s="21" customFormat="1" ht="11.4" x14ac:dyDescent="0.2">
      <c r="B65" s="19"/>
      <c r="C65" s="330"/>
      <c r="D65" s="330"/>
    </row>
    <row r="66" spans="2:4" s="21" customFormat="1" ht="11.4" x14ac:dyDescent="0.2">
      <c r="B66" s="19"/>
      <c r="C66" s="330"/>
      <c r="D66" s="330"/>
    </row>
    <row r="67" spans="2:4" s="21" customFormat="1" ht="13.8" x14ac:dyDescent="0.25">
      <c r="B67" s="26"/>
      <c r="C67" s="330"/>
      <c r="D67" s="330"/>
    </row>
    <row r="68" spans="2:4" s="21" customFormat="1" ht="11.4" x14ac:dyDescent="0.2">
      <c r="B68" s="19"/>
      <c r="C68" s="330"/>
      <c r="D68" s="330"/>
    </row>
    <row r="69" spans="2:4" s="21" customFormat="1" ht="13.8" x14ac:dyDescent="0.25">
      <c r="B69" s="26"/>
      <c r="C69" s="330"/>
      <c r="D69" s="330"/>
    </row>
    <row r="70" spans="2:4" s="21" customFormat="1" ht="11.4" x14ac:dyDescent="0.2">
      <c r="B70" s="19"/>
      <c r="C70" s="330"/>
      <c r="D70" s="330"/>
    </row>
    <row r="71" spans="2:4" s="21" customFormat="1" ht="11.4" x14ac:dyDescent="0.2">
      <c r="B71" s="19"/>
      <c r="C71" s="330"/>
      <c r="D71" s="330"/>
    </row>
  </sheetData>
  <mergeCells count="1">
    <mergeCell ref="B4:D4"/>
  </mergeCells>
  <phoneticPr fontId="31" type="noConversion"/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>
    <pageSetUpPr fitToPage="1"/>
  </sheetPr>
  <dimension ref="B3:U122"/>
  <sheetViews>
    <sheetView showGridLines="0" topLeftCell="A75" zoomScaleNormal="100" zoomScaleSheetLayoutView="100" workbookViewId="0">
      <selection activeCell="F86" sqref="F86"/>
    </sheetView>
  </sheetViews>
  <sheetFormatPr defaultColWidth="9.33203125" defaultRowHeight="10.199999999999999" x14ac:dyDescent="0.2"/>
  <cols>
    <col min="1" max="1" width="2.33203125" style="44" customWidth="1"/>
    <col min="2" max="2" width="40.33203125" style="44" customWidth="1"/>
    <col min="3" max="3" width="19.33203125" style="44" customWidth="1"/>
    <col min="4" max="4" width="19.44140625" style="44" customWidth="1"/>
    <col min="5" max="5" width="18.5546875" style="44" customWidth="1"/>
    <col min="6" max="6" width="20.44140625" style="44" customWidth="1"/>
    <col min="7" max="7" width="18.6640625" style="44" customWidth="1"/>
    <col min="8" max="8" width="11.5546875" style="44" customWidth="1"/>
    <col min="9" max="9" width="11.5546875" style="44" hidden="1" customWidth="1"/>
    <col min="10" max="10" width="12.44140625" style="44" customWidth="1"/>
    <col min="11" max="11" width="13.33203125" style="44" customWidth="1"/>
    <col min="12" max="12" width="13.5546875" style="44" customWidth="1"/>
    <col min="13" max="13" width="13.6640625" style="44" bestFit="1" customWidth="1"/>
    <col min="14" max="14" width="14.33203125" style="44" customWidth="1"/>
    <col min="15" max="16384" width="9.33203125" style="44"/>
  </cols>
  <sheetData>
    <row r="3" spans="2:4" ht="13.2" x14ac:dyDescent="0.25">
      <c r="B3" s="399" t="s">
        <v>562</v>
      </c>
      <c r="C3"/>
      <c r="D3"/>
    </row>
    <row r="4" spans="2:4" ht="13.2" x14ac:dyDescent="0.25">
      <c r="B4" s="484"/>
      <c r="C4"/>
      <c r="D4"/>
    </row>
    <row r="5" spans="2:4" x14ac:dyDescent="0.2">
      <c r="B5" s="101" t="s">
        <v>316</v>
      </c>
      <c r="C5" s="110" t="s">
        <v>843</v>
      </c>
      <c r="D5" s="110" t="s">
        <v>756</v>
      </c>
    </row>
    <row r="6" spans="2:4" ht="15" customHeight="1" x14ac:dyDescent="0.2">
      <c r="B6" s="140" t="s">
        <v>9</v>
      </c>
      <c r="C6" s="397"/>
      <c r="D6" s="397"/>
    </row>
    <row r="7" spans="2:4" ht="15" customHeight="1" x14ac:dyDescent="0.2">
      <c r="B7" s="113" t="s">
        <v>140</v>
      </c>
      <c r="C7" s="77">
        <v>80</v>
      </c>
      <c r="D7" s="77">
        <v>58063</v>
      </c>
    </row>
    <row r="8" spans="2:4" ht="15" customHeight="1" x14ac:dyDescent="0.2">
      <c r="B8" s="113" t="s">
        <v>141</v>
      </c>
      <c r="C8" s="77">
        <v>0</v>
      </c>
      <c r="D8" s="77">
        <v>0</v>
      </c>
    </row>
    <row r="9" spans="2:4" ht="15" customHeight="1" x14ac:dyDescent="0.2">
      <c r="B9" s="113" t="s">
        <v>142</v>
      </c>
      <c r="C9" s="77">
        <v>54601325</v>
      </c>
      <c r="D9" s="77">
        <v>58244443</v>
      </c>
    </row>
    <row r="10" spans="2:4" ht="15" customHeight="1" x14ac:dyDescent="0.2">
      <c r="B10" s="40" t="s">
        <v>143</v>
      </c>
      <c r="C10" s="571">
        <f>SUM(C7:C9)</f>
        <v>54601405</v>
      </c>
      <c r="D10" s="45">
        <f>SUM(D7:D9)</f>
        <v>58302506</v>
      </c>
    </row>
    <row r="11" spans="2:4" ht="15" customHeight="1" x14ac:dyDescent="0.2">
      <c r="B11" s="113" t="s">
        <v>340</v>
      </c>
      <c r="C11" s="77">
        <f>RZiS!D18</f>
        <v>1518875</v>
      </c>
      <c r="D11" s="77">
        <v>915210</v>
      </c>
    </row>
    <row r="12" spans="2:4" ht="15" customHeight="1" x14ac:dyDescent="0.2">
      <c r="B12" s="113" t="s">
        <v>315</v>
      </c>
      <c r="C12" s="77">
        <f>RZiS!D22</f>
        <v>46723</v>
      </c>
      <c r="D12" s="77">
        <v>150372</v>
      </c>
    </row>
    <row r="13" spans="2:4" ht="20.399999999999999" x14ac:dyDescent="0.2">
      <c r="B13" s="50" t="s">
        <v>219</v>
      </c>
      <c r="C13" s="45">
        <f>SUM(C10:C12)</f>
        <v>56167003</v>
      </c>
      <c r="D13" s="45">
        <f>SUM(D10:D12)</f>
        <v>59368088</v>
      </c>
    </row>
    <row r="14" spans="2:4" x14ac:dyDescent="0.2">
      <c r="B14" s="40" t="s">
        <v>685</v>
      </c>
      <c r="C14" s="45">
        <v>0</v>
      </c>
      <c r="D14" s="45">
        <v>0</v>
      </c>
    </row>
    <row r="15" spans="2:4" ht="12.75" customHeight="1" x14ac:dyDescent="0.2">
      <c r="B15" s="40" t="s">
        <v>220</v>
      </c>
      <c r="C15" s="45">
        <f>C13+C14</f>
        <v>56167003</v>
      </c>
      <c r="D15" s="45">
        <f>D13+D14</f>
        <v>59368088</v>
      </c>
    </row>
    <row r="16" spans="2:4" ht="12.75" customHeight="1" x14ac:dyDescent="0.2">
      <c r="B16" s="54"/>
      <c r="C16" s="304">
        <f>C15-RZiS!D3-RZiS!D18-RZiS!D22</f>
        <v>0</v>
      </c>
      <c r="D16" s="304">
        <f>D15-RZiS!E3-RZiS!E18-RZiS!E22</f>
        <v>0</v>
      </c>
    </row>
    <row r="17" spans="2:21" ht="12.75" customHeight="1" x14ac:dyDescent="0.2">
      <c r="B17" s="3"/>
    </row>
    <row r="18" spans="2:21" ht="12.75" customHeight="1" x14ac:dyDescent="0.2">
      <c r="B18" s="3"/>
    </row>
    <row r="19" spans="2:21" ht="13.2" x14ac:dyDescent="0.25">
      <c r="B19" s="399" t="s">
        <v>563</v>
      </c>
      <c r="C19"/>
      <c r="D19"/>
      <c r="E19"/>
      <c r="F19"/>
      <c r="G19"/>
      <c r="H19"/>
      <c r="I19"/>
      <c r="J19"/>
      <c r="K19"/>
      <c r="L19"/>
      <c r="M19"/>
    </row>
    <row r="20" spans="2:21" s="670" customFormat="1" ht="13.2" x14ac:dyDescent="0.25">
      <c r="B20" s="399"/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</row>
    <row r="21" spans="2:21" s="670" customFormat="1" ht="15" customHeight="1" x14ac:dyDescent="0.2">
      <c r="B21" s="54" t="s">
        <v>926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</row>
    <row r="22" spans="2:21" s="394" customFormat="1" ht="15" customHeight="1" x14ac:dyDescent="0.2">
      <c r="B22" s="784" t="s">
        <v>1003</v>
      </c>
      <c r="C22" s="784"/>
      <c r="D22" s="785" t="s">
        <v>9</v>
      </c>
      <c r="E22" s="786"/>
      <c r="F22" s="786"/>
      <c r="G22" s="787"/>
      <c r="H22" s="781" t="s">
        <v>535</v>
      </c>
      <c r="I22" s="781" t="s">
        <v>559</v>
      </c>
      <c r="J22" s="781" t="s">
        <v>558</v>
      </c>
      <c r="K22" s="781" t="s">
        <v>376</v>
      </c>
      <c r="L22" s="670"/>
      <c r="M22" s="670"/>
    </row>
    <row r="23" spans="2:21" s="394" customFormat="1" ht="36" customHeight="1" x14ac:dyDescent="0.25">
      <c r="B23" s="784"/>
      <c r="C23" s="784"/>
      <c r="D23" s="671" t="s">
        <v>809</v>
      </c>
      <c r="E23" s="671" t="s">
        <v>800</v>
      </c>
      <c r="F23" s="671" t="s">
        <v>698</v>
      </c>
      <c r="G23" s="671" t="s">
        <v>699</v>
      </c>
      <c r="H23" s="782"/>
      <c r="I23" s="782"/>
      <c r="J23" s="782"/>
      <c r="K23" s="782"/>
    </row>
    <row r="24" spans="2:21" s="670" customFormat="1" ht="15" customHeight="1" x14ac:dyDescent="0.2">
      <c r="B24" s="783" t="s">
        <v>282</v>
      </c>
      <c r="C24" s="674" t="s">
        <v>536</v>
      </c>
      <c r="D24" s="139">
        <f>10575011-2846161</f>
        <v>7728850</v>
      </c>
      <c r="E24" s="244">
        <f>31747465-7650972</f>
        <v>24096493</v>
      </c>
      <c r="F24" s="244">
        <f>10342271-1416343</f>
        <v>8925928</v>
      </c>
      <c r="G24" s="244">
        <f>14082442-232308</f>
        <v>13850134</v>
      </c>
      <c r="H24" s="244">
        <v>0</v>
      </c>
      <c r="I24" s="244">
        <v>0</v>
      </c>
      <c r="J24" s="244">
        <v>0</v>
      </c>
      <c r="K24" s="244">
        <f>SUM(D24:G24)</f>
        <v>54601405</v>
      </c>
      <c r="L24" s="321">
        <f>K24-RZiS!D3</f>
        <v>0</v>
      </c>
      <c r="M24" s="137"/>
      <c r="N24" s="137"/>
      <c r="O24" s="137"/>
      <c r="P24" s="137"/>
      <c r="Q24" s="137"/>
      <c r="R24" s="137"/>
      <c r="S24" s="137"/>
    </row>
    <row r="25" spans="2:21" s="670" customFormat="1" ht="24" customHeight="1" x14ac:dyDescent="0.2">
      <c r="B25" s="783"/>
      <c r="C25" s="674" t="s">
        <v>537</v>
      </c>
      <c r="D25" s="139">
        <v>2846161</v>
      </c>
      <c r="E25" s="244">
        <v>7650972</v>
      </c>
      <c r="F25" s="244">
        <v>1416343</v>
      </c>
      <c r="G25" s="244">
        <v>232308</v>
      </c>
      <c r="H25" s="244">
        <v>0</v>
      </c>
      <c r="I25" s="244">
        <v>0</v>
      </c>
      <c r="J25" s="244">
        <f>SUM(D25:G25)</f>
        <v>12145784</v>
      </c>
      <c r="K25" s="244">
        <v>0</v>
      </c>
      <c r="L25" s="137"/>
      <c r="M25" s="137"/>
      <c r="N25" s="137"/>
      <c r="O25" s="137"/>
      <c r="P25" s="137"/>
      <c r="Q25" s="137"/>
      <c r="R25" s="137"/>
      <c r="S25" s="137"/>
    </row>
    <row r="26" spans="2:21" s="670" customFormat="1" ht="24" customHeight="1" x14ac:dyDescent="0.2">
      <c r="B26" s="783" t="s">
        <v>538</v>
      </c>
      <c r="C26" s="674" t="s">
        <v>539</v>
      </c>
      <c r="D26" s="632">
        <f>11019633-D27</f>
        <v>10241753</v>
      </c>
      <c r="E26" s="632">
        <f>32194549-E27</f>
        <v>22823652</v>
      </c>
      <c r="F26" s="632">
        <f>10746774-F27</f>
        <v>10427626</v>
      </c>
      <c r="G26" s="632">
        <f>14032747-G27</f>
        <v>12217428</v>
      </c>
      <c r="H26" s="633">
        <v>0</v>
      </c>
      <c r="I26" s="633">
        <v>0</v>
      </c>
      <c r="J26" s="633"/>
      <c r="K26" s="633">
        <f>SUM(D26:G26)</f>
        <v>55710459</v>
      </c>
      <c r="L26" s="321">
        <f>K26-RZiS!D7</f>
        <v>0</v>
      </c>
      <c r="M26" s="137"/>
      <c r="N26" s="137"/>
      <c r="O26" s="137"/>
      <c r="P26" s="137"/>
      <c r="Q26" s="137"/>
      <c r="R26" s="137"/>
      <c r="S26" s="137"/>
    </row>
    <row r="27" spans="2:21" s="670" customFormat="1" ht="24" customHeight="1" x14ac:dyDescent="0.2">
      <c r="B27" s="783"/>
      <c r="C27" s="674" t="s">
        <v>540</v>
      </c>
      <c r="D27" s="632">
        <f>836150+40462-98732</f>
        <v>777880</v>
      </c>
      <c r="E27" s="632">
        <f>9512214-34354+15896+56379-197838+25361-6761</f>
        <v>9370897</v>
      </c>
      <c r="F27" s="632">
        <f>263479-2462+55936-267+2462</f>
        <v>319148</v>
      </c>
      <c r="G27" s="632">
        <f>1815320-4174-1+4174</f>
        <v>1815319</v>
      </c>
      <c r="H27" s="633">
        <v>0</v>
      </c>
      <c r="I27" s="633">
        <v>0</v>
      </c>
      <c r="J27" s="244">
        <f>SUM(D27:G27)</f>
        <v>12283244</v>
      </c>
      <c r="K27" s="633">
        <v>0</v>
      </c>
      <c r="L27" s="137"/>
      <c r="M27" s="321"/>
      <c r="N27" s="137"/>
      <c r="O27" s="137"/>
      <c r="P27" s="137"/>
      <c r="Q27" s="137"/>
      <c r="R27" s="137"/>
      <c r="S27" s="137"/>
    </row>
    <row r="28" spans="2:21" s="670" customFormat="1" ht="15" customHeight="1" x14ac:dyDescent="0.2">
      <c r="B28" s="775" t="s">
        <v>541</v>
      </c>
      <c r="C28" s="775"/>
      <c r="D28" s="486">
        <f>D24+D25-D26-D27</f>
        <v>-444622</v>
      </c>
      <c r="E28" s="486">
        <f t="shared" ref="E28:G28" si="0">E24+E25-E26-E27</f>
        <v>-447084</v>
      </c>
      <c r="F28" s="486">
        <f t="shared" si="0"/>
        <v>-404503</v>
      </c>
      <c r="G28" s="486">
        <f t="shared" si="0"/>
        <v>49695</v>
      </c>
      <c r="H28" s="486">
        <f>H24+H25-H26-H27</f>
        <v>0</v>
      </c>
      <c r="I28" s="486">
        <f t="shared" ref="I28:J28" si="1">I24+I25-I26-I27</f>
        <v>0</v>
      </c>
      <c r="J28" s="486">
        <f t="shared" si="1"/>
        <v>-137460</v>
      </c>
      <c r="K28" s="486">
        <f>D28+E28+F28+G28-J28</f>
        <v>-1109054</v>
      </c>
      <c r="L28" s="321">
        <f>K28-RZiS!D16</f>
        <v>0</v>
      </c>
      <c r="M28" s="137"/>
      <c r="N28" s="137"/>
      <c r="O28" s="137"/>
      <c r="P28" s="137"/>
      <c r="Q28" s="137"/>
      <c r="R28" s="137"/>
      <c r="S28" s="137"/>
    </row>
    <row r="29" spans="2:21" s="670" customFormat="1" ht="15" customHeight="1" x14ac:dyDescent="0.2">
      <c r="B29" s="774" t="s">
        <v>340</v>
      </c>
      <c r="C29" s="774"/>
      <c r="D29" s="244">
        <v>616800</v>
      </c>
      <c r="E29" s="139">
        <v>885415</v>
      </c>
      <c r="F29" s="244">
        <v>552594</v>
      </c>
      <c r="G29" s="244">
        <v>11845</v>
      </c>
      <c r="H29" s="244">
        <v>0</v>
      </c>
      <c r="I29" s="244">
        <v>0</v>
      </c>
      <c r="J29" s="244">
        <v>547779</v>
      </c>
      <c r="K29" s="244">
        <f>SUM(D29:G29)-J29</f>
        <v>1518875</v>
      </c>
      <c r="L29" s="321">
        <f>K29-RZiS!D18</f>
        <v>0</v>
      </c>
      <c r="M29" s="137"/>
      <c r="N29" s="137"/>
      <c r="O29" s="137"/>
      <c r="P29" s="137"/>
      <c r="Q29" s="137"/>
      <c r="R29" s="137"/>
      <c r="S29" s="137"/>
    </row>
    <row r="30" spans="2:21" s="670" customFormat="1" ht="15" customHeight="1" x14ac:dyDescent="0.2">
      <c r="B30" s="778" t="s">
        <v>341</v>
      </c>
      <c r="C30" s="779"/>
      <c r="D30" s="244">
        <v>1821748</v>
      </c>
      <c r="E30" s="139">
        <v>311338</v>
      </c>
      <c r="F30" s="244">
        <v>5372</v>
      </c>
      <c r="G30" s="244">
        <v>26759</v>
      </c>
      <c r="H30" s="244">
        <v>0</v>
      </c>
      <c r="I30" s="244">
        <v>0</v>
      </c>
      <c r="J30" s="244">
        <v>535277</v>
      </c>
      <c r="K30" s="244">
        <f>SUM(D30:G30)-J30</f>
        <v>1629940</v>
      </c>
      <c r="L30" s="321">
        <f>K30-RZiS!D19</f>
        <v>0</v>
      </c>
      <c r="M30" s="137"/>
      <c r="N30" s="137"/>
      <c r="O30" s="137"/>
      <c r="P30" s="137"/>
      <c r="Q30" s="137"/>
      <c r="R30" s="137"/>
      <c r="S30" s="137"/>
    </row>
    <row r="31" spans="2:21" s="670" customFormat="1" ht="15" customHeight="1" x14ac:dyDescent="0.2">
      <c r="B31" s="672" t="s">
        <v>315</v>
      </c>
      <c r="C31" s="673"/>
      <c r="D31" s="244">
        <v>1359538</v>
      </c>
      <c r="E31" s="139">
        <v>444795</v>
      </c>
      <c r="F31" s="244">
        <v>27108</v>
      </c>
      <c r="G31" s="244">
        <v>0</v>
      </c>
      <c r="H31" s="244">
        <v>0</v>
      </c>
      <c r="I31" s="244">
        <v>0</v>
      </c>
      <c r="J31" s="244">
        <v>1784718</v>
      </c>
      <c r="K31" s="244">
        <f t="shared" ref="K31:K36" si="2">SUM(D31:G31)-J31</f>
        <v>46723</v>
      </c>
      <c r="L31" s="321">
        <f>K31-RZiS!D22</f>
        <v>0</v>
      </c>
      <c r="M31" s="137"/>
      <c r="N31" s="137"/>
      <c r="O31" s="137"/>
      <c r="P31" s="137"/>
      <c r="Q31" s="137"/>
      <c r="R31" s="137"/>
      <c r="S31" s="137"/>
    </row>
    <row r="32" spans="2:21" s="670" customFormat="1" ht="15" customHeight="1" x14ac:dyDescent="0.2">
      <c r="B32" s="774" t="s">
        <v>526</v>
      </c>
      <c r="C32" s="774"/>
      <c r="D32" s="244">
        <v>100615</v>
      </c>
      <c r="E32" s="139">
        <v>96935</v>
      </c>
      <c r="F32" s="244">
        <v>8442</v>
      </c>
      <c r="G32" s="244">
        <v>92141</v>
      </c>
      <c r="H32" s="244">
        <v>0</v>
      </c>
      <c r="I32" s="244">
        <v>0</v>
      </c>
      <c r="J32" s="244">
        <v>94718</v>
      </c>
      <c r="K32" s="244">
        <f t="shared" si="2"/>
        <v>203415</v>
      </c>
      <c r="L32" s="321">
        <f>K32-RZiS!D23</f>
        <v>0</v>
      </c>
      <c r="M32" s="137"/>
      <c r="N32" s="137"/>
      <c r="O32" s="137"/>
      <c r="P32" s="137"/>
      <c r="Q32" s="137"/>
      <c r="R32" s="137"/>
      <c r="S32" s="137"/>
    </row>
    <row r="33" spans="2:19" s="670" customFormat="1" ht="22.5" hidden="1" customHeight="1" x14ac:dyDescent="0.2">
      <c r="B33" s="774" t="s">
        <v>629</v>
      </c>
      <c r="C33" s="774"/>
      <c r="D33" s="244">
        <v>0</v>
      </c>
      <c r="E33" s="244">
        <v>0</v>
      </c>
      <c r="F33" s="244">
        <v>0</v>
      </c>
      <c r="G33" s="244">
        <v>0</v>
      </c>
      <c r="H33" s="244">
        <v>0</v>
      </c>
      <c r="I33" s="244">
        <v>0</v>
      </c>
      <c r="J33" s="244">
        <v>0</v>
      </c>
      <c r="K33" s="244">
        <f t="shared" si="2"/>
        <v>0</v>
      </c>
      <c r="L33" s="137"/>
      <c r="M33" s="137"/>
      <c r="N33" s="137"/>
      <c r="O33" s="137"/>
      <c r="P33" s="137"/>
      <c r="Q33" s="137"/>
      <c r="R33" s="137"/>
      <c r="S33" s="137"/>
    </row>
    <row r="34" spans="2:19" s="670" customFormat="1" ht="47.25" hidden="1" customHeight="1" x14ac:dyDescent="0.2">
      <c r="B34" s="774" t="s">
        <v>630</v>
      </c>
      <c r="C34" s="774"/>
      <c r="D34" s="244">
        <v>0</v>
      </c>
      <c r="E34" s="244">
        <v>0</v>
      </c>
      <c r="F34" s="244">
        <v>0</v>
      </c>
      <c r="G34" s="244">
        <v>0</v>
      </c>
      <c r="H34" s="244">
        <v>0</v>
      </c>
      <c r="I34" s="244">
        <v>0</v>
      </c>
      <c r="J34" s="244">
        <v>0</v>
      </c>
      <c r="K34" s="244">
        <f t="shared" si="2"/>
        <v>0</v>
      </c>
      <c r="L34" s="137"/>
      <c r="M34" s="137"/>
      <c r="N34" s="137"/>
      <c r="O34" s="137"/>
      <c r="P34" s="137"/>
      <c r="Q34" s="137"/>
      <c r="R34" s="137"/>
      <c r="S34" s="137"/>
    </row>
    <row r="35" spans="2:19" s="670" customFormat="1" ht="22.5" customHeight="1" x14ac:dyDescent="0.2">
      <c r="B35" s="774" t="s">
        <v>543</v>
      </c>
      <c r="C35" s="774"/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373883</v>
      </c>
      <c r="K35" s="244">
        <f t="shared" si="2"/>
        <v>-373883</v>
      </c>
      <c r="L35" s="137"/>
      <c r="M35" s="137"/>
      <c r="N35" s="137"/>
      <c r="O35" s="137"/>
      <c r="P35" s="137"/>
      <c r="Q35" s="137"/>
      <c r="R35" s="137"/>
      <c r="S35" s="137"/>
    </row>
    <row r="36" spans="2:19" s="670" customFormat="1" ht="30" customHeight="1" x14ac:dyDescent="0.2">
      <c r="B36" s="776" t="s">
        <v>600</v>
      </c>
      <c r="C36" s="777"/>
      <c r="D36" s="244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f t="shared" si="2"/>
        <v>0</v>
      </c>
      <c r="L36" s="137"/>
      <c r="M36" s="137"/>
      <c r="N36" s="137"/>
      <c r="O36" s="137"/>
      <c r="P36" s="137"/>
      <c r="Q36" s="137"/>
      <c r="R36" s="137"/>
      <c r="S36" s="137"/>
    </row>
    <row r="37" spans="2:19" s="670" customFormat="1" ht="15" customHeight="1" x14ac:dyDescent="0.2">
      <c r="B37" s="775" t="s">
        <v>542</v>
      </c>
      <c r="C37" s="775"/>
      <c r="D37" s="167">
        <f>D28+D29-D30+D31-D32</f>
        <v>-390647</v>
      </c>
      <c r="E37" s="167">
        <f t="shared" ref="E37:I37" si="3">E28+E29-E30+E31-E32</f>
        <v>474853</v>
      </c>
      <c r="F37" s="167">
        <f t="shared" si="3"/>
        <v>161385</v>
      </c>
      <c r="G37" s="167">
        <f t="shared" si="3"/>
        <v>-57360</v>
      </c>
      <c r="H37" s="167">
        <f t="shared" si="3"/>
        <v>0</v>
      </c>
      <c r="I37" s="167">
        <f t="shared" si="3"/>
        <v>0</v>
      </c>
      <c r="J37" s="167">
        <f>1565041+J35+1</f>
        <v>1938925</v>
      </c>
      <c r="K37" s="167">
        <f>D37+E37+F37+G37-J37</f>
        <v>-1750694</v>
      </c>
      <c r="L37" s="304">
        <f>K37-RZiS!D26</f>
        <v>0</v>
      </c>
      <c r="M37" s="321"/>
      <c r="N37" s="137"/>
      <c r="O37" s="137"/>
      <c r="P37" s="137"/>
      <c r="Q37" s="137"/>
      <c r="R37" s="137"/>
      <c r="S37" s="137"/>
    </row>
    <row r="38" spans="2:19" s="670" customFormat="1" ht="15" customHeight="1" x14ac:dyDescent="0.2">
      <c r="B38" s="774" t="s">
        <v>448</v>
      </c>
      <c r="C38" s="774"/>
      <c r="D38" s="244">
        <v>-282722</v>
      </c>
      <c r="E38" s="139">
        <v>-80183</v>
      </c>
      <c r="F38" s="207">
        <v>0</v>
      </c>
      <c r="G38" s="244">
        <v>-9708</v>
      </c>
      <c r="H38" s="244">
        <v>0</v>
      </c>
      <c r="I38" s="244">
        <v>0</v>
      </c>
      <c r="J38" s="244">
        <v>0</v>
      </c>
      <c r="K38" s="244">
        <f>SUM(D38:G38)</f>
        <v>-372613</v>
      </c>
      <c r="L38" s="321">
        <f>K38-RZiS!D27</f>
        <v>0</v>
      </c>
      <c r="M38" s="137"/>
      <c r="N38" s="137"/>
      <c r="O38" s="137"/>
      <c r="P38" s="137"/>
      <c r="Q38" s="137"/>
      <c r="R38" s="137"/>
      <c r="S38" s="137"/>
    </row>
    <row r="39" spans="2:19" s="670" customFormat="1" ht="15" customHeight="1" x14ac:dyDescent="0.2">
      <c r="B39" s="778" t="s">
        <v>631</v>
      </c>
      <c r="C39" s="779"/>
      <c r="D39" s="244">
        <v>0</v>
      </c>
      <c r="E39" s="490">
        <v>0</v>
      </c>
      <c r="F39" s="491">
        <v>0</v>
      </c>
      <c r="G39" s="244">
        <v>0</v>
      </c>
      <c r="H39" s="244">
        <v>0</v>
      </c>
      <c r="I39" s="244">
        <v>0</v>
      </c>
      <c r="J39" s="244">
        <v>27929</v>
      </c>
      <c r="K39" s="244">
        <f>-J39</f>
        <v>-27929</v>
      </c>
      <c r="L39" s="304">
        <f>K39-RZiS!D33</f>
        <v>0</v>
      </c>
      <c r="M39" s="137"/>
      <c r="N39" s="137"/>
      <c r="O39" s="137"/>
      <c r="P39" s="137"/>
      <c r="Q39" s="137"/>
      <c r="R39" s="137"/>
      <c r="S39" s="137"/>
    </row>
    <row r="40" spans="2:19" s="670" customFormat="1" ht="15" customHeight="1" thickBot="1" x14ac:dyDescent="0.25">
      <c r="B40" s="780" t="s">
        <v>544</v>
      </c>
      <c r="C40" s="780"/>
      <c r="D40" s="489">
        <f>D37-D38</f>
        <v>-107925</v>
      </c>
      <c r="E40" s="489">
        <f t="shared" ref="E40:G40" si="4">E37-E38</f>
        <v>555036</v>
      </c>
      <c r="F40" s="489">
        <f t="shared" si="4"/>
        <v>161385</v>
      </c>
      <c r="G40" s="489">
        <f t="shared" si="4"/>
        <v>-47652</v>
      </c>
      <c r="H40" s="489">
        <v>0</v>
      </c>
      <c r="I40" s="489">
        <v>0</v>
      </c>
      <c r="J40" s="489">
        <v>1910996</v>
      </c>
      <c r="K40" s="489">
        <f>G40+F40+E40+D40-J40</f>
        <v>-1350152</v>
      </c>
      <c r="L40" s="304">
        <f>K40-RZiS!D34</f>
        <v>0</v>
      </c>
      <c r="M40" s="137"/>
      <c r="N40" s="137"/>
      <c r="O40" s="137"/>
      <c r="P40" s="137"/>
      <c r="Q40" s="137"/>
      <c r="R40" s="137"/>
      <c r="S40" s="137"/>
    </row>
    <row r="41" spans="2:19" s="670" customFormat="1" ht="15" customHeight="1" x14ac:dyDescent="0.2">
      <c r="B41" s="773" t="s">
        <v>545</v>
      </c>
      <c r="C41" s="773"/>
      <c r="D41" s="492">
        <f>D42</f>
        <v>20846403</v>
      </c>
      <c r="E41" s="492">
        <f t="shared" ref="E41:G41" si="5">E42</f>
        <v>20371248</v>
      </c>
      <c r="F41" s="492">
        <f t="shared" si="5"/>
        <v>4655460</v>
      </c>
      <c r="G41" s="492">
        <f t="shared" si="5"/>
        <v>5238137</v>
      </c>
      <c r="H41" s="492">
        <v>0</v>
      </c>
      <c r="I41" s="492">
        <v>0</v>
      </c>
      <c r="J41" s="492">
        <f>J42</f>
        <v>12387768</v>
      </c>
      <c r="K41" s="492">
        <f>K42</f>
        <v>38723480</v>
      </c>
      <c r="L41" s="304"/>
      <c r="M41" s="137"/>
      <c r="N41" s="137"/>
      <c r="O41" s="137"/>
      <c r="P41" s="137"/>
      <c r="Q41" s="137"/>
      <c r="R41" s="137"/>
      <c r="S41" s="137"/>
    </row>
    <row r="42" spans="2:19" s="670" customFormat="1" ht="15" customHeight="1" x14ac:dyDescent="0.2">
      <c r="B42" s="774" t="s">
        <v>532</v>
      </c>
      <c r="C42" s="774"/>
      <c r="D42" s="244">
        <v>20846403</v>
      </c>
      <c r="E42" s="139">
        <v>20371248</v>
      </c>
      <c r="F42" s="244">
        <v>4655460</v>
      </c>
      <c r="G42" s="244">
        <v>5238137</v>
      </c>
      <c r="H42" s="244">
        <v>0</v>
      </c>
      <c r="I42" s="244">
        <v>0</v>
      </c>
      <c r="J42" s="244">
        <f>12713026-325258</f>
        <v>12387768</v>
      </c>
      <c r="K42" s="244">
        <f>G42+F42+E42+D42-J42</f>
        <v>38723480</v>
      </c>
      <c r="L42" s="304">
        <f>K42-Aktywa!D25</f>
        <v>0</v>
      </c>
      <c r="M42" s="137"/>
      <c r="N42" s="137"/>
      <c r="O42" s="137"/>
      <c r="P42" s="137"/>
      <c r="Q42" s="137"/>
      <c r="R42" s="137"/>
      <c r="S42" s="137"/>
    </row>
    <row r="43" spans="2:19" s="670" customFormat="1" ht="15" customHeight="1" x14ac:dyDescent="0.2">
      <c r="B43" s="774" t="s">
        <v>546</v>
      </c>
      <c r="C43" s="774"/>
      <c r="D43" s="244">
        <v>0</v>
      </c>
      <c r="E43" s="244">
        <v>0</v>
      </c>
      <c r="F43" s="244">
        <v>0</v>
      </c>
      <c r="G43" s="244">
        <v>0</v>
      </c>
      <c r="H43" s="244">
        <v>0</v>
      </c>
      <c r="I43" s="244">
        <v>0</v>
      </c>
      <c r="J43" s="244">
        <v>0</v>
      </c>
      <c r="K43" s="244">
        <f t="shared" ref="K43:K45" si="6">G43+F43+E43+D43-J43</f>
        <v>0</v>
      </c>
      <c r="L43" s="137"/>
      <c r="M43" s="137"/>
      <c r="N43" s="137"/>
      <c r="O43" s="137"/>
      <c r="P43" s="137"/>
      <c r="Q43" s="137"/>
      <c r="R43" s="137"/>
      <c r="S43" s="137"/>
    </row>
    <row r="44" spans="2:19" s="670" customFormat="1" ht="15" customHeight="1" x14ac:dyDescent="0.2">
      <c r="B44" s="775" t="s">
        <v>547</v>
      </c>
      <c r="C44" s="775"/>
      <c r="D44" s="492">
        <f>D45</f>
        <v>5920129</v>
      </c>
      <c r="E44" s="492">
        <f t="shared" ref="E44:G44" si="7">E45</f>
        <v>11368054</v>
      </c>
      <c r="F44" s="492">
        <f t="shared" si="7"/>
        <v>2706877</v>
      </c>
      <c r="G44" s="492">
        <f t="shared" si="7"/>
        <v>3346710</v>
      </c>
      <c r="H44" s="492">
        <v>0</v>
      </c>
      <c r="I44" s="492">
        <v>0</v>
      </c>
      <c r="J44" s="492">
        <f>J45</f>
        <v>5963853</v>
      </c>
      <c r="K44" s="167">
        <f t="shared" si="6"/>
        <v>17377917</v>
      </c>
      <c r="L44" s="137"/>
      <c r="M44" s="137"/>
      <c r="N44" s="137"/>
      <c r="O44" s="137"/>
      <c r="P44" s="137"/>
      <c r="Q44" s="137"/>
      <c r="R44" s="137"/>
      <c r="S44" s="137"/>
    </row>
    <row r="45" spans="2:19" s="670" customFormat="1" ht="15" customHeight="1" x14ac:dyDescent="0.2">
      <c r="B45" s="774" t="s">
        <v>548</v>
      </c>
      <c r="C45" s="774"/>
      <c r="D45" s="244">
        <v>5920129</v>
      </c>
      <c r="E45" s="244">
        <v>11368054</v>
      </c>
      <c r="F45" s="244">
        <v>2706877</v>
      </c>
      <c r="G45" s="244">
        <v>3346710</v>
      </c>
      <c r="H45" s="244">
        <v>0</v>
      </c>
      <c r="I45" s="244">
        <v>0</v>
      </c>
      <c r="J45" s="244">
        <v>5963853</v>
      </c>
      <c r="K45" s="244">
        <f t="shared" si="6"/>
        <v>17377917</v>
      </c>
      <c r="L45" s="304">
        <f>K45-Pasywa!D12-Pasywa!D20</f>
        <v>0</v>
      </c>
      <c r="M45" s="137"/>
      <c r="N45" s="137"/>
      <c r="O45" s="137"/>
      <c r="P45" s="137"/>
      <c r="Q45" s="137"/>
      <c r="R45" s="137"/>
      <c r="S45" s="137"/>
    </row>
    <row r="46" spans="2:19" s="670" customFormat="1" ht="15.75" customHeight="1" thickBot="1" x14ac:dyDescent="0.25">
      <c r="B46" s="769" t="s">
        <v>549</v>
      </c>
      <c r="C46" s="769"/>
      <c r="D46" s="493">
        <v>0</v>
      </c>
      <c r="E46" s="494">
        <v>0</v>
      </c>
      <c r="F46" s="493">
        <v>0</v>
      </c>
      <c r="G46" s="493">
        <v>0</v>
      </c>
      <c r="H46" s="493">
        <v>0</v>
      </c>
      <c r="I46" s="493">
        <v>0</v>
      </c>
      <c r="J46" s="493">
        <v>0</v>
      </c>
      <c r="K46" s="493">
        <v>0</v>
      </c>
      <c r="L46" s="137"/>
      <c r="M46" s="137"/>
      <c r="N46" s="137"/>
      <c r="O46" s="137"/>
      <c r="P46" s="137"/>
      <c r="Q46" s="137"/>
      <c r="R46" s="137"/>
      <c r="S46" s="137"/>
    </row>
    <row r="47" spans="2:19" s="670" customFormat="1" ht="15" customHeight="1" x14ac:dyDescent="0.2">
      <c r="B47" s="770" t="s">
        <v>550</v>
      </c>
      <c r="C47" s="771"/>
      <c r="D47" s="495"/>
      <c r="E47" s="495"/>
      <c r="F47" s="495"/>
      <c r="G47" s="495"/>
      <c r="H47" s="495"/>
      <c r="I47" s="495"/>
      <c r="J47" s="495"/>
      <c r="K47" s="496"/>
      <c r="L47" s="137"/>
      <c r="M47" s="137"/>
      <c r="N47" s="137"/>
      <c r="O47" s="137"/>
      <c r="P47" s="137"/>
      <c r="Q47" s="137"/>
      <c r="R47" s="137"/>
      <c r="S47" s="137"/>
    </row>
    <row r="48" spans="2:19" s="670" customFormat="1" ht="15" customHeight="1" x14ac:dyDescent="0.2">
      <c r="B48" s="772" t="s">
        <v>551</v>
      </c>
      <c r="C48" s="772"/>
      <c r="D48" s="492">
        <v>0</v>
      </c>
      <c r="E48" s="492">
        <v>0</v>
      </c>
      <c r="F48" s="492">
        <v>0</v>
      </c>
      <c r="G48" s="492">
        <v>0</v>
      </c>
      <c r="H48" s="492">
        <v>0</v>
      </c>
      <c r="I48" s="492">
        <v>0</v>
      </c>
      <c r="J48" s="492">
        <v>0</v>
      </c>
      <c r="K48" s="167">
        <v>0</v>
      </c>
      <c r="L48" s="137"/>
      <c r="M48" s="137"/>
      <c r="N48" s="137"/>
      <c r="O48" s="137"/>
      <c r="P48" s="137"/>
      <c r="Q48" s="137"/>
      <c r="R48" s="137"/>
      <c r="S48" s="137"/>
    </row>
    <row r="49" spans="2:21" s="670" customFormat="1" ht="15" customHeight="1" x14ac:dyDescent="0.2">
      <c r="B49" s="768" t="s">
        <v>552</v>
      </c>
      <c r="C49" s="768"/>
      <c r="D49" s="714">
        <v>78859</v>
      </c>
      <c r="E49" s="714">
        <f>9803+8873</f>
        <v>18676</v>
      </c>
      <c r="F49" s="714">
        <v>2400</v>
      </c>
      <c r="G49" s="714">
        <v>121681</v>
      </c>
      <c r="H49" s="714">
        <v>0</v>
      </c>
      <c r="I49" s="714">
        <v>0</v>
      </c>
      <c r="J49" s="714">
        <v>0</v>
      </c>
      <c r="K49" s="244">
        <f t="shared" ref="K49:K53" si="8">G49+F49+E49+D49-J49</f>
        <v>221616</v>
      </c>
      <c r="L49" s="137"/>
      <c r="M49" s="137"/>
      <c r="N49" s="137"/>
      <c r="O49" s="137"/>
      <c r="P49" s="137"/>
      <c r="Q49" s="137"/>
      <c r="R49" s="137"/>
      <c r="S49" s="137"/>
    </row>
    <row r="50" spans="2:21" s="670" customFormat="1" ht="15" customHeight="1" x14ac:dyDescent="0.2">
      <c r="B50" s="768" t="s">
        <v>553</v>
      </c>
      <c r="C50" s="768"/>
      <c r="D50" s="714">
        <v>378049</v>
      </c>
      <c r="E50" s="714">
        <f>942233+27104+293499+69199</f>
        <v>1332035</v>
      </c>
      <c r="F50" s="714">
        <v>873042</v>
      </c>
      <c r="G50" s="714">
        <v>0</v>
      </c>
      <c r="H50" s="714">
        <v>0</v>
      </c>
      <c r="I50" s="714">
        <v>0</v>
      </c>
      <c r="J50" s="714">
        <v>2728</v>
      </c>
      <c r="K50" s="244">
        <f t="shared" si="8"/>
        <v>2580398</v>
      </c>
      <c r="L50" s="137"/>
      <c r="M50" s="137"/>
      <c r="N50" s="321"/>
      <c r="O50" s="137"/>
      <c r="P50" s="137"/>
      <c r="Q50" s="137"/>
      <c r="R50" s="137"/>
      <c r="S50" s="137"/>
    </row>
    <row r="51" spans="2:21" s="670" customFormat="1" ht="15" customHeight="1" x14ac:dyDescent="0.2">
      <c r="B51" s="768" t="s">
        <v>554</v>
      </c>
      <c r="C51" s="768"/>
      <c r="D51" s="715">
        <v>349814</v>
      </c>
      <c r="E51" s="715">
        <f>114024</f>
        <v>114024</v>
      </c>
      <c r="F51" s="715">
        <v>0</v>
      </c>
      <c r="G51" s="715">
        <v>751474</v>
      </c>
      <c r="H51" s="715">
        <v>0</v>
      </c>
      <c r="I51" s="715">
        <v>0</v>
      </c>
      <c r="J51" s="715">
        <v>0</v>
      </c>
      <c r="K51" s="244">
        <f t="shared" si="8"/>
        <v>1215312</v>
      </c>
      <c r="L51" s="137"/>
      <c r="M51" s="137"/>
      <c r="N51" s="137"/>
      <c r="O51" s="137"/>
      <c r="P51" s="137"/>
      <c r="Q51" s="137"/>
      <c r="R51" s="137"/>
      <c r="S51" s="137"/>
    </row>
    <row r="52" spans="2:21" s="670" customFormat="1" x14ac:dyDescent="0.2">
      <c r="B52" s="768" t="s">
        <v>555</v>
      </c>
      <c r="C52" s="768"/>
      <c r="D52" s="715">
        <v>1246683</v>
      </c>
      <c r="E52" s="715">
        <v>1385427</v>
      </c>
      <c r="F52" s="715">
        <v>1341316</v>
      </c>
      <c r="G52" s="715">
        <v>407510</v>
      </c>
      <c r="H52" s="715">
        <v>0</v>
      </c>
      <c r="I52" s="715">
        <v>0</v>
      </c>
      <c r="J52" s="715">
        <v>-6759</v>
      </c>
      <c r="K52" s="244">
        <f t="shared" si="8"/>
        <v>4387695</v>
      </c>
      <c r="L52" s="321"/>
      <c r="M52" s="137"/>
      <c r="N52" s="137"/>
      <c r="O52" s="137"/>
      <c r="P52" s="137"/>
      <c r="Q52" s="137"/>
      <c r="R52" s="137"/>
      <c r="S52" s="137"/>
    </row>
    <row r="53" spans="2:21" s="670" customFormat="1" ht="15" customHeight="1" x14ac:dyDescent="0.2">
      <c r="B53" s="768" t="s">
        <v>556</v>
      </c>
      <c r="C53" s="768"/>
      <c r="D53" s="715">
        <f>1027777</f>
        <v>1027777</v>
      </c>
      <c r="E53" s="715">
        <v>245120</v>
      </c>
      <c r="F53" s="715">
        <v>0</v>
      </c>
      <c r="G53" s="715">
        <v>0</v>
      </c>
      <c r="H53" s="715">
        <v>0</v>
      </c>
      <c r="I53" s="715">
        <v>0</v>
      </c>
      <c r="J53" s="715">
        <v>532630</v>
      </c>
      <c r="K53" s="244">
        <f t="shared" si="8"/>
        <v>740267</v>
      </c>
      <c r="L53" s="321"/>
      <c r="M53" s="137"/>
      <c r="N53" s="137"/>
      <c r="O53" s="137"/>
      <c r="P53" s="137"/>
      <c r="Q53" s="137"/>
      <c r="R53" s="137"/>
      <c r="S53" s="137"/>
    </row>
    <row r="54" spans="2:21" s="670" customFormat="1" ht="15" hidden="1" customHeight="1" x14ac:dyDescent="0.2">
      <c r="B54" s="768" t="s">
        <v>557</v>
      </c>
      <c r="C54" s="768"/>
      <c r="D54" s="716">
        <v>0</v>
      </c>
      <c r="E54" s="714">
        <v>0</v>
      </c>
      <c r="F54" s="714">
        <v>0</v>
      </c>
      <c r="G54" s="716">
        <v>0</v>
      </c>
      <c r="H54" s="715">
        <v>0</v>
      </c>
      <c r="I54" s="715">
        <v>0</v>
      </c>
      <c r="J54" s="715">
        <v>0</v>
      </c>
      <c r="K54" s="244">
        <v>0</v>
      </c>
      <c r="L54" s="137"/>
      <c r="M54" s="137"/>
      <c r="N54" s="137"/>
      <c r="O54" s="137"/>
      <c r="P54" s="137"/>
      <c r="Q54" s="137"/>
      <c r="R54" s="137"/>
      <c r="S54" s="137"/>
    </row>
    <row r="55" spans="2:21" s="670" customFormat="1" ht="13.2" x14ac:dyDescent="0.25">
      <c r="B55" s="399"/>
      <c r="C55" s="565"/>
      <c r="D55" s="565"/>
      <c r="E55" s="565"/>
      <c r="F55" s="565"/>
      <c r="G55" s="565"/>
      <c r="H55" s="565"/>
      <c r="I55" s="565"/>
      <c r="J55" s="565"/>
      <c r="K55" s="565"/>
      <c r="L55" s="565"/>
      <c r="M55" s="565"/>
    </row>
    <row r="56" spans="2:21" s="670" customFormat="1" ht="13.2" x14ac:dyDescent="0.25">
      <c r="B56" s="399"/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</row>
    <row r="57" spans="2:21" s="670" customFormat="1" ht="13.2" x14ac:dyDescent="0.25">
      <c r="B57" s="399"/>
      <c r="C57" s="565"/>
      <c r="D57" s="565"/>
      <c r="E57" s="565"/>
      <c r="F57" s="565"/>
      <c r="G57" s="565"/>
      <c r="H57" s="565"/>
      <c r="I57" s="565"/>
      <c r="J57" s="565"/>
      <c r="K57" s="565"/>
      <c r="L57" s="565"/>
      <c r="M57" s="565"/>
    </row>
    <row r="58" spans="2:21" s="670" customFormat="1" ht="13.2" x14ac:dyDescent="0.25">
      <c r="B58" s="399"/>
      <c r="C58" s="565"/>
      <c r="D58" s="565"/>
      <c r="E58" s="565"/>
      <c r="F58" s="565"/>
      <c r="G58" s="565"/>
      <c r="H58" s="565"/>
      <c r="I58" s="565"/>
      <c r="J58" s="565"/>
      <c r="K58" s="565"/>
      <c r="L58" s="565"/>
      <c r="M58" s="565"/>
    </row>
    <row r="59" spans="2:21" ht="15" customHeight="1" x14ac:dyDescent="0.2">
      <c r="B59" s="54" t="s">
        <v>761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</row>
    <row r="60" spans="2:21" s="394" customFormat="1" ht="15" customHeight="1" x14ac:dyDescent="0.2">
      <c r="B60" s="784" t="s">
        <v>762</v>
      </c>
      <c r="C60" s="784"/>
      <c r="D60" s="785" t="s">
        <v>9</v>
      </c>
      <c r="E60" s="786"/>
      <c r="F60" s="786"/>
      <c r="G60" s="787"/>
      <c r="H60" s="781" t="s">
        <v>535</v>
      </c>
      <c r="I60" s="781" t="s">
        <v>559</v>
      </c>
      <c r="J60" s="781" t="s">
        <v>558</v>
      </c>
      <c r="K60" s="781" t="s">
        <v>376</v>
      </c>
      <c r="L60" s="581"/>
      <c r="M60" s="581"/>
    </row>
    <row r="61" spans="2:21" s="394" customFormat="1" ht="36" customHeight="1" x14ac:dyDescent="0.25">
      <c r="B61" s="784"/>
      <c r="C61" s="784"/>
      <c r="D61" s="395" t="s">
        <v>809</v>
      </c>
      <c r="E61" s="395" t="s">
        <v>800</v>
      </c>
      <c r="F61" s="582" t="s">
        <v>801</v>
      </c>
      <c r="G61" s="395" t="s">
        <v>699</v>
      </c>
      <c r="H61" s="782"/>
      <c r="I61" s="782"/>
      <c r="J61" s="782"/>
      <c r="K61" s="782"/>
    </row>
    <row r="62" spans="2:21" ht="15" customHeight="1" x14ac:dyDescent="0.2">
      <c r="B62" s="783" t="s">
        <v>282</v>
      </c>
      <c r="C62" s="68" t="s">
        <v>536</v>
      </c>
      <c r="D62" s="139">
        <f>9765091-2533735</f>
        <v>7231356</v>
      </c>
      <c r="E62" s="244">
        <f>26903083+1310152</f>
        <v>28213235</v>
      </c>
      <c r="F62" s="244">
        <v>10239011</v>
      </c>
      <c r="G62" s="244">
        <f>12560841+58063</f>
        <v>12618904</v>
      </c>
      <c r="H62" s="244">
        <v>0</v>
      </c>
      <c r="I62" s="244">
        <v>0</v>
      </c>
      <c r="J62" s="244">
        <v>0</v>
      </c>
      <c r="K62" s="244">
        <f>SUM(D62:G62)</f>
        <v>58302506</v>
      </c>
      <c r="L62" s="321">
        <f>K62-RZiS!E3</f>
        <v>0</v>
      </c>
      <c r="M62" s="137"/>
      <c r="N62" s="137"/>
      <c r="O62" s="137"/>
      <c r="P62" s="137"/>
      <c r="Q62" s="137"/>
      <c r="R62" s="137"/>
      <c r="S62" s="137"/>
    </row>
    <row r="63" spans="2:21" ht="24" customHeight="1" x14ac:dyDescent="0.2">
      <c r="B63" s="783"/>
      <c r="C63" s="68" t="s">
        <v>537</v>
      </c>
      <c r="D63" s="139">
        <v>2533735</v>
      </c>
      <c r="E63" s="244">
        <v>11780421</v>
      </c>
      <c r="F63" s="244">
        <v>1784574</v>
      </c>
      <c r="G63" s="244">
        <v>59061</v>
      </c>
      <c r="H63" s="244">
        <v>0</v>
      </c>
      <c r="I63" s="244">
        <v>0</v>
      </c>
      <c r="J63" s="244">
        <f>SUM(D63:G63)</f>
        <v>16157791</v>
      </c>
      <c r="K63" s="244">
        <v>0</v>
      </c>
      <c r="L63" s="137"/>
      <c r="M63" s="137"/>
      <c r="N63" s="137"/>
      <c r="O63" s="137"/>
      <c r="P63" s="137"/>
      <c r="Q63" s="137"/>
      <c r="R63" s="137"/>
      <c r="S63" s="137"/>
    </row>
    <row r="64" spans="2:21" ht="24" customHeight="1" x14ac:dyDescent="0.2">
      <c r="B64" s="783" t="s">
        <v>538</v>
      </c>
      <c r="C64" s="68" t="s">
        <v>539</v>
      </c>
      <c r="D64" s="632">
        <f>10355090-D65-21727</f>
        <v>9887652</v>
      </c>
      <c r="E64" s="632">
        <f>38787250-E65+1310152-2939+21727</f>
        <v>27110562</v>
      </c>
      <c r="F64" s="632">
        <f>12028133+10914-F65</f>
        <v>11102759</v>
      </c>
      <c r="G64" s="632">
        <f>12224669-G65</f>
        <v>10954352</v>
      </c>
      <c r="H64" s="633">
        <v>0</v>
      </c>
      <c r="I64" s="633">
        <v>0</v>
      </c>
      <c r="J64" s="633"/>
      <c r="K64" s="633">
        <f>SUM(D64:G64)</f>
        <v>59055325</v>
      </c>
      <c r="L64" s="321">
        <f>K64-RZiS!E7</f>
        <v>0</v>
      </c>
      <c r="M64" s="137"/>
      <c r="N64" s="137"/>
      <c r="O64" s="137"/>
      <c r="P64" s="137"/>
      <c r="Q64" s="137"/>
      <c r="R64" s="137"/>
      <c r="S64" s="137"/>
    </row>
    <row r="65" spans="2:19" ht="24" customHeight="1" x14ac:dyDescent="0.2">
      <c r="B65" s="783"/>
      <c r="C65" s="68" t="s">
        <v>540</v>
      </c>
      <c r="D65" s="632">
        <f>926431-480720</f>
        <v>445711</v>
      </c>
      <c r="E65" s="632">
        <f>13421511-415883</f>
        <v>13005628</v>
      </c>
      <c r="F65" s="632">
        <v>936288</v>
      </c>
      <c r="G65" s="632">
        <v>1270317</v>
      </c>
      <c r="H65" s="633">
        <v>0</v>
      </c>
      <c r="I65" s="633">
        <v>0</v>
      </c>
      <c r="J65" s="633">
        <v>15657944</v>
      </c>
      <c r="K65" s="633">
        <v>0</v>
      </c>
      <c r="L65" s="137"/>
      <c r="M65" s="321"/>
      <c r="N65" s="137"/>
      <c r="O65" s="137"/>
      <c r="P65" s="137"/>
      <c r="Q65" s="137"/>
      <c r="R65" s="137"/>
      <c r="S65" s="137"/>
    </row>
    <row r="66" spans="2:19" ht="15" customHeight="1" x14ac:dyDescent="0.2">
      <c r="B66" s="775" t="s">
        <v>541</v>
      </c>
      <c r="C66" s="775"/>
      <c r="D66" s="486">
        <f>D62+D63-D64-D65</f>
        <v>-568272</v>
      </c>
      <c r="E66" s="486">
        <f t="shared" ref="E66:G66" si="9">E62+E63-E64-E65</f>
        <v>-122534</v>
      </c>
      <c r="F66" s="486">
        <f t="shared" si="9"/>
        <v>-15462</v>
      </c>
      <c r="G66" s="486">
        <f t="shared" si="9"/>
        <v>453296</v>
      </c>
      <c r="H66" s="486">
        <f>H62+H63-H64-H65</f>
        <v>0</v>
      </c>
      <c r="I66" s="486">
        <f t="shared" ref="I66" si="10">I62+I63-I64-I65</f>
        <v>0</v>
      </c>
      <c r="J66" s="486">
        <v>499847</v>
      </c>
      <c r="K66" s="486">
        <f>D66+E66+F66+G66-J66</f>
        <v>-752819</v>
      </c>
      <c r="L66" s="321">
        <f>K66-RZiS!E16</f>
        <v>0</v>
      </c>
      <c r="M66" s="137"/>
      <c r="N66" s="137"/>
      <c r="O66" s="137"/>
      <c r="P66" s="137"/>
      <c r="Q66" s="137"/>
      <c r="R66" s="137"/>
      <c r="S66" s="137"/>
    </row>
    <row r="67" spans="2:19" ht="15" customHeight="1" x14ac:dyDescent="0.2">
      <c r="B67" s="774" t="s">
        <v>340</v>
      </c>
      <c r="C67" s="774"/>
      <c r="D67" s="244">
        <v>53710</v>
      </c>
      <c r="E67" s="139">
        <f>978582</f>
        <v>978582</v>
      </c>
      <c r="F67" s="244">
        <v>586529</v>
      </c>
      <c r="G67" s="244">
        <v>225752</v>
      </c>
      <c r="H67" s="244">
        <v>0</v>
      </c>
      <c r="I67" s="244">
        <v>0</v>
      </c>
      <c r="J67" s="244">
        <v>929363</v>
      </c>
      <c r="K67" s="244">
        <f>SUM(D67:G67)-J67</f>
        <v>915210</v>
      </c>
      <c r="L67" s="321">
        <f>K67-RZiS!E18</f>
        <v>0</v>
      </c>
      <c r="M67" s="137"/>
      <c r="N67" s="137"/>
      <c r="O67" s="137"/>
      <c r="P67" s="137"/>
      <c r="Q67" s="137"/>
      <c r="R67" s="137"/>
      <c r="S67" s="137"/>
    </row>
    <row r="68" spans="2:19" ht="15" customHeight="1" x14ac:dyDescent="0.2">
      <c r="B68" s="778" t="s">
        <v>341</v>
      </c>
      <c r="C68" s="779"/>
      <c r="D68" s="244">
        <v>2273713</v>
      </c>
      <c r="E68" s="139">
        <v>1633681</v>
      </c>
      <c r="F68" s="244">
        <v>14384</v>
      </c>
      <c r="G68" s="244">
        <v>439473</v>
      </c>
      <c r="H68" s="244">
        <v>0</v>
      </c>
      <c r="I68" s="244">
        <v>0</v>
      </c>
      <c r="J68" s="244">
        <f>1855132-781082+2241419</f>
        <v>3315469</v>
      </c>
      <c r="K68" s="244">
        <f>SUM(D68:G68)-J68</f>
        <v>1045782</v>
      </c>
      <c r="L68" s="321">
        <f>K68-RZiS!E19</f>
        <v>0</v>
      </c>
      <c r="M68" s="137"/>
      <c r="N68" s="137"/>
      <c r="O68" s="137"/>
      <c r="P68" s="137"/>
      <c r="Q68" s="137"/>
      <c r="R68" s="137"/>
      <c r="S68" s="137"/>
    </row>
    <row r="69" spans="2:19" ht="15" customHeight="1" x14ac:dyDescent="0.2">
      <c r="B69" s="487" t="s">
        <v>315</v>
      </c>
      <c r="C69" s="488"/>
      <c r="D69" s="244">
        <v>4505511</v>
      </c>
      <c r="E69" s="139">
        <v>726149</v>
      </c>
      <c r="F69" s="244">
        <v>2799</v>
      </c>
      <c r="G69" s="244">
        <v>34310</v>
      </c>
      <c r="H69" s="244"/>
      <c r="I69" s="244"/>
      <c r="J69" s="244">
        <v>5118397</v>
      </c>
      <c r="K69" s="244">
        <f t="shared" ref="K69:K74" si="11">SUM(D69:G69)-J69</f>
        <v>150372</v>
      </c>
      <c r="L69" s="321">
        <f>K69-RZiS!E22</f>
        <v>0</v>
      </c>
      <c r="M69" s="137"/>
      <c r="N69" s="137"/>
      <c r="O69" s="137"/>
      <c r="P69" s="137"/>
      <c r="Q69" s="137"/>
      <c r="R69" s="137"/>
      <c r="S69" s="137"/>
    </row>
    <row r="70" spans="2:19" ht="15" customHeight="1" x14ac:dyDescent="0.2">
      <c r="B70" s="774" t="s">
        <v>526</v>
      </c>
      <c r="C70" s="774"/>
      <c r="D70" s="244">
        <v>172822</v>
      </c>
      <c r="E70" s="139">
        <v>74156</v>
      </c>
      <c r="F70" s="244">
        <v>42144</v>
      </c>
      <c r="G70" s="244">
        <v>77766</v>
      </c>
      <c r="H70" s="244">
        <v>0</v>
      </c>
      <c r="I70" s="244">
        <v>0</v>
      </c>
      <c r="J70" s="244">
        <f>1526792-1497039</f>
        <v>29753</v>
      </c>
      <c r="K70" s="244">
        <f t="shared" si="11"/>
        <v>337135</v>
      </c>
      <c r="L70" s="321">
        <f>K70-RZiS!E23</f>
        <v>0</v>
      </c>
      <c r="M70" s="137"/>
      <c r="N70" s="137"/>
      <c r="O70" s="137"/>
      <c r="P70" s="137"/>
      <c r="Q70" s="137"/>
      <c r="R70" s="137"/>
      <c r="S70" s="137"/>
    </row>
    <row r="71" spans="2:19" ht="22.5" hidden="1" customHeight="1" x14ac:dyDescent="0.2">
      <c r="B71" s="774" t="s">
        <v>629</v>
      </c>
      <c r="C71" s="774"/>
      <c r="D71" s="244">
        <v>0</v>
      </c>
      <c r="E71" s="244">
        <v>0</v>
      </c>
      <c r="F71" s="244">
        <v>0</v>
      </c>
      <c r="G71" s="244">
        <v>0</v>
      </c>
      <c r="H71" s="244">
        <v>0</v>
      </c>
      <c r="I71" s="244">
        <v>0</v>
      </c>
      <c r="J71" s="244">
        <v>0</v>
      </c>
      <c r="K71" s="244">
        <f t="shared" si="11"/>
        <v>0</v>
      </c>
      <c r="L71" s="137"/>
      <c r="M71" s="137"/>
      <c r="N71" s="137"/>
      <c r="O71" s="137"/>
      <c r="P71" s="137"/>
      <c r="Q71" s="137"/>
      <c r="R71" s="137"/>
      <c r="S71" s="137"/>
    </row>
    <row r="72" spans="2:19" ht="47.25" hidden="1" customHeight="1" x14ac:dyDescent="0.2">
      <c r="B72" s="774" t="s">
        <v>630</v>
      </c>
      <c r="C72" s="774"/>
      <c r="D72" s="244">
        <v>0</v>
      </c>
      <c r="E72" s="244">
        <v>0</v>
      </c>
      <c r="F72" s="244">
        <v>0</v>
      </c>
      <c r="G72" s="244">
        <v>0</v>
      </c>
      <c r="H72" s="244">
        <v>0</v>
      </c>
      <c r="I72" s="244">
        <v>0</v>
      </c>
      <c r="J72" s="244">
        <v>0</v>
      </c>
      <c r="K72" s="244">
        <f t="shared" si="11"/>
        <v>0</v>
      </c>
      <c r="L72" s="137"/>
      <c r="M72" s="137"/>
      <c r="N72" s="137"/>
      <c r="O72" s="137"/>
      <c r="P72" s="137"/>
      <c r="Q72" s="137"/>
      <c r="R72" s="137"/>
      <c r="S72" s="137"/>
    </row>
    <row r="73" spans="2:19" ht="22.5" customHeight="1" x14ac:dyDescent="0.2">
      <c r="B73" s="774" t="s">
        <v>543</v>
      </c>
      <c r="C73" s="774"/>
      <c r="D73" s="244">
        <v>0</v>
      </c>
      <c r="E73" s="244">
        <v>0</v>
      </c>
      <c r="F73" s="244">
        <v>0</v>
      </c>
      <c r="G73" s="244">
        <v>0</v>
      </c>
      <c r="H73" s="244">
        <v>0</v>
      </c>
      <c r="I73" s="244">
        <v>0</v>
      </c>
      <c r="J73" s="244">
        <v>127863</v>
      </c>
      <c r="K73" s="244">
        <f t="shared" si="11"/>
        <v>-127863</v>
      </c>
      <c r="L73" s="137"/>
      <c r="M73" s="137"/>
      <c r="N73" s="137"/>
      <c r="O73" s="137"/>
      <c r="P73" s="137"/>
      <c r="Q73" s="137"/>
      <c r="R73" s="137"/>
      <c r="S73" s="137"/>
    </row>
    <row r="74" spans="2:19" ht="30" customHeight="1" x14ac:dyDescent="0.2">
      <c r="B74" s="776" t="s">
        <v>600</v>
      </c>
      <c r="C74" s="777"/>
      <c r="D74" s="244">
        <v>0</v>
      </c>
      <c r="E74" s="244">
        <v>0</v>
      </c>
      <c r="F74" s="244">
        <v>0</v>
      </c>
      <c r="G74" s="244">
        <v>0</v>
      </c>
      <c r="H74" s="244">
        <v>0</v>
      </c>
      <c r="I74" s="244">
        <v>0</v>
      </c>
      <c r="J74" s="244">
        <v>-59979</v>
      </c>
      <c r="K74" s="244">
        <f t="shared" si="11"/>
        <v>59979</v>
      </c>
      <c r="L74" s="137"/>
      <c r="M74" s="137"/>
      <c r="N74" s="137"/>
      <c r="O74" s="137"/>
      <c r="P74" s="137"/>
      <c r="Q74" s="137"/>
      <c r="R74" s="137"/>
      <c r="S74" s="137"/>
    </row>
    <row r="75" spans="2:19" ht="15" customHeight="1" x14ac:dyDescent="0.2">
      <c r="B75" s="775" t="s">
        <v>542</v>
      </c>
      <c r="C75" s="775"/>
      <c r="D75" s="167">
        <f>D66+D67-D68+D69-D70</f>
        <v>1544414</v>
      </c>
      <c r="E75" s="167">
        <f t="shared" ref="E75:I75" si="12">E66+E67-E68+E69-E70</f>
        <v>-125640</v>
      </c>
      <c r="F75" s="167">
        <f t="shared" si="12"/>
        <v>517338</v>
      </c>
      <c r="G75" s="167">
        <f t="shared" si="12"/>
        <v>196119</v>
      </c>
      <c r="H75" s="167">
        <f t="shared" si="12"/>
        <v>0</v>
      </c>
      <c r="I75" s="167">
        <f t="shared" si="12"/>
        <v>0</v>
      </c>
      <c r="J75" s="167">
        <f>3165681+J73+J74+36704</f>
        <v>3270269</v>
      </c>
      <c r="K75" s="167">
        <f>D75+E75+F75+G75-J75</f>
        <v>-1138038</v>
      </c>
      <c r="L75" s="304">
        <f>K75-RZiS!E26</f>
        <v>0</v>
      </c>
      <c r="M75" s="321"/>
      <c r="N75" s="137"/>
      <c r="O75" s="137"/>
      <c r="P75" s="137"/>
      <c r="Q75" s="137"/>
      <c r="R75" s="137"/>
      <c r="S75" s="137"/>
    </row>
    <row r="76" spans="2:19" ht="15" customHeight="1" x14ac:dyDescent="0.2">
      <c r="B76" s="774" t="s">
        <v>448</v>
      </c>
      <c r="C76" s="774"/>
      <c r="D76" s="244">
        <v>126834</v>
      </c>
      <c r="E76" s="139">
        <f>166415-3570</f>
        <v>162845</v>
      </c>
      <c r="F76" s="207">
        <f>34692+65656</f>
        <v>100348</v>
      </c>
      <c r="G76" s="244">
        <v>-175611</v>
      </c>
      <c r="H76" s="244">
        <v>0</v>
      </c>
      <c r="I76" s="244">
        <v>0</v>
      </c>
      <c r="J76" s="244">
        <v>0</v>
      </c>
      <c r="K76" s="244">
        <f>SUM(D76:G76)</f>
        <v>214416</v>
      </c>
      <c r="L76" s="321">
        <f>K76-RZiS!E27</f>
        <v>0</v>
      </c>
      <c r="M76" s="137"/>
      <c r="N76" s="137"/>
      <c r="O76" s="137"/>
      <c r="P76" s="137"/>
      <c r="Q76" s="137"/>
      <c r="R76" s="137"/>
      <c r="S76" s="137"/>
    </row>
    <row r="77" spans="2:19" ht="15" customHeight="1" x14ac:dyDescent="0.2">
      <c r="B77" s="778" t="s">
        <v>631</v>
      </c>
      <c r="C77" s="779"/>
      <c r="D77" s="244">
        <v>0</v>
      </c>
      <c r="E77" s="490">
        <v>0</v>
      </c>
      <c r="F77" s="491">
        <v>0</v>
      </c>
      <c r="G77" s="244">
        <v>0</v>
      </c>
      <c r="H77" s="244">
        <v>0</v>
      </c>
      <c r="I77" s="244">
        <v>0</v>
      </c>
      <c r="J77" s="244">
        <v>51595</v>
      </c>
      <c r="K77" s="244">
        <f>-J77</f>
        <v>-51595</v>
      </c>
      <c r="L77" s="304">
        <f>K77-RZiS!E33</f>
        <v>0</v>
      </c>
      <c r="M77" s="137"/>
      <c r="N77" s="137"/>
      <c r="O77" s="137"/>
      <c r="P77" s="137"/>
      <c r="Q77" s="137"/>
      <c r="R77" s="137"/>
      <c r="S77" s="137"/>
    </row>
    <row r="78" spans="2:19" ht="15" customHeight="1" thickBot="1" x14ac:dyDescent="0.25">
      <c r="B78" s="780" t="s">
        <v>544</v>
      </c>
      <c r="C78" s="780"/>
      <c r="D78" s="489">
        <f>D75-D76</f>
        <v>1417580</v>
      </c>
      <c r="E78" s="489">
        <f t="shared" ref="E78:G78" si="13">E75-E76</f>
        <v>-288485</v>
      </c>
      <c r="F78" s="489">
        <f t="shared" si="13"/>
        <v>416990</v>
      </c>
      <c r="G78" s="489">
        <f t="shared" si="13"/>
        <v>371730</v>
      </c>
      <c r="H78" s="489">
        <v>0</v>
      </c>
      <c r="I78" s="489">
        <v>0</v>
      </c>
      <c r="J78" s="489">
        <f>3241950+299915-323191</f>
        <v>3218674</v>
      </c>
      <c r="K78" s="489">
        <f>G78+F78+E78+D78-J78</f>
        <v>-1300859</v>
      </c>
      <c r="L78" s="304">
        <f>K78-RZiS!E34</f>
        <v>0</v>
      </c>
      <c r="M78" s="137"/>
      <c r="N78" s="137"/>
      <c r="O78" s="137"/>
      <c r="P78" s="137"/>
      <c r="Q78" s="137"/>
      <c r="R78" s="137"/>
      <c r="S78" s="137"/>
    </row>
    <row r="79" spans="2:19" ht="15" customHeight="1" x14ac:dyDescent="0.2">
      <c r="B79" s="773" t="s">
        <v>545</v>
      </c>
      <c r="C79" s="773"/>
      <c r="D79" s="492">
        <f>D80</f>
        <v>22187014</v>
      </c>
      <c r="E79" s="492">
        <f t="shared" ref="E79:G79" si="14">E80</f>
        <v>21587812</v>
      </c>
      <c r="F79" s="492">
        <f t="shared" si="14"/>
        <v>5927119</v>
      </c>
      <c r="G79" s="492">
        <f t="shared" si="14"/>
        <v>4896575</v>
      </c>
      <c r="H79" s="492">
        <v>0</v>
      </c>
      <c r="I79" s="492">
        <v>0</v>
      </c>
      <c r="J79" s="492">
        <f>J80</f>
        <v>15130997</v>
      </c>
      <c r="K79" s="492">
        <f>K80</f>
        <v>39467523</v>
      </c>
      <c r="L79" s="304"/>
      <c r="M79" s="137"/>
      <c r="N79" s="137"/>
      <c r="O79" s="137"/>
      <c r="P79" s="137"/>
      <c r="Q79" s="137"/>
      <c r="R79" s="137"/>
      <c r="S79" s="137"/>
    </row>
    <row r="80" spans="2:19" ht="15" customHeight="1" x14ac:dyDescent="0.2">
      <c r="B80" s="774" t="s">
        <v>532</v>
      </c>
      <c r="C80" s="774"/>
      <c r="D80" s="244">
        <v>22187014</v>
      </c>
      <c r="E80" s="139">
        <v>21587812</v>
      </c>
      <c r="F80" s="244">
        <v>5927119</v>
      </c>
      <c r="G80" s="244">
        <v>4896575</v>
      </c>
      <c r="H80" s="244">
        <v>0</v>
      </c>
      <c r="I80" s="244">
        <v>0</v>
      </c>
      <c r="J80" s="244">
        <f>15454188-323191</f>
        <v>15130997</v>
      </c>
      <c r="K80" s="244">
        <f>G80+F80+E80+D80-J80</f>
        <v>39467523</v>
      </c>
      <c r="L80" s="304">
        <f>K80-Aktywa!E25</f>
        <v>0</v>
      </c>
      <c r="M80" s="137"/>
      <c r="N80" s="137"/>
      <c r="O80" s="137"/>
      <c r="P80" s="137"/>
      <c r="Q80" s="137"/>
      <c r="R80" s="137"/>
      <c r="S80" s="137"/>
    </row>
    <row r="81" spans="2:19" ht="15" customHeight="1" x14ac:dyDescent="0.2">
      <c r="B81" s="774" t="s">
        <v>546</v>
      </c>
      <c r="C81" s="774"/>
      <c r="D81" s="244">
        <v>0</v>
      </c>
      <c r="E81" s="244">
        <v>0</v>
      </c>
      <c r="F81" s="244">
        <v>0</v>
      </c>
      <c r="G81" s="244">
        <v>0</v>
      </c>
      <c r="H81" s="244">
        <v>0</v>
      </c>
      <c r="I81" s="244">
        <v>0</v>
      </c>
      <c r="J81" s="244">
        <v>0</v>
      </c>
      <c r="K81" s="244">
        <f t="shared" ref="K81:K83" si="15">G81+F81+E81+D81-J81</f>
        <v>0</v>
      </c>
      <c r="L81" s="137"/>
      <c r="M81" s="137"/>
      <c r="N81" s="137"/>
      <c r="O81" s="137"/>
      <c r="P81" s="137"/>
      <c r="Q81" s="137"/>
      <c r="R81" s="137"/>
      <c r="S81" s="137"/>
    </row>
    <row r="82" spans="2:19" ht="15" customHeight="1" x14ac:dyDescent="0.2">
      <c r="B82" s="775" t="s">
        <v>547</v>
      </c>
      <c r="C82" s="775"/>
      <c r="D82" s="492">
        <f>D83</f>
        <v>7152818</v>
      </c>
      <c r="E82" s="492">
        <f t="shared" ref="E82:G82" si="16">E83</f>
        <v>11086948</v>
      </c>
      <c r="F82" s="492">
        <f t="shared" si="16"/>
        <v>3989150</v>
      </c>
      <c r="G82" s="492">
        <f t="shared" si="16"/>
        <v>2957495</v>
      </c>
      <c r="H82" s="492">
        <v>0</v>
      </c>
      <c r="I82" s="492">
        <v>0</v>
      </c>
      <c r="J82" s="492">
        <f>J83</f>
        <v>8345063</v>
      </c>
      <c r="K82" s="167">
        <f t="shared" si="15"/>
        <v>16841348</v>
      </c>
      <c r="L82" s="137"/>
      <c r="M82" s="137"/>
      <c r="N82" s="137"/>
      <c r="O82" s="137"/>
      <c r="P82" s="137"/>
      <c r="Q82" s="137"/>
      <c r="R82" s="137"/>
      <c r="S82" s="137"/>
    </row>
    <row r="83" spans="2:19" ht="15" customHeight="1" x14ac:dyDescent="0.2">
      <c r="B83" s="774" t="s">
        <v>548</v>
      </c>
      <c r="C83" s="774"/>
      <c r="D83" s="244">
        <v>7152818</v>
      </c>
      <c r="E83" s="244">
        <v>11086948</v>
      </c>
      <c r="F83" s="244">
        <v>3989150</v>
      </c>
      <c r="G83" s="244">
        <v>2957495</v>
      </c>
      <c r="H83" s="244">
        <v>0</v>
      </c>
      <c r="I83" s="244">
        <v>0</v>
      </c>
      <c r="J83" s="244">
        <v>8345063</v>
      </c>
      <c r="K83" s="244">
        <f t="shared" si="15"/>
        <v>16841348</v>
      </c>
      <c r="L83" s="304">
        <f>K83-Pasywa!E12-Pasywa!E20</f>
        <v>0</v>
      </c>
      <c r="M83" s="137"/>
      <c r="N83" s="137"/>
      <c r="O83" s="137"/>
      <c r="P83" s="137"/>
      <c r="Q83" s="137"/>
      <c r="R83" s="137"/>
      <c r="S83" s="137"/>
    </row>
    <row r="84" spans="2:19" ht="15.75" customHeight="1" thickBot="1" x14ac:dyDescent="0.25">
      <c r="B84" s="769" t="s">
        <v>549</v>
      </c>
      <c r="C84" s="769"/>
      <c r="D84" s="493">
        <v>0</v>
      </c>
      <c r="E84" s="494">
        <v>0</v>
      </c>
      <c r="F84" s="493">
        <v>0</v>
      </c>
      <c r="G84" s="493">
        <v>0</v>
      </c>
      <c r="H84" s="493">
        <v>0</v>
      </c>
      <c r="I84" s="493">
        <v>0</v>
      </c>
      <c r="J84" s="493">
        <v>0</v>
      </c>
      <c r="K84" s="493">
        <v>0</v>
      </c>
      <c r="L84" s="137"/>
      <c r="M84" s="137"/>
      <c r="N84" s="137"/>
      <c r="O84" s="137"/>
      <c r="P84" s="137"/>
      <c r="Q84" s="137"/>
      <c r="R84" s="137"/>
      <c r="S84" s="137"/>
    </row>
    <row r="85" spans="2:19" ht="15" customHeight="1" x14ac:dyDescent="0.2">
      <c r="B85" s="770" t="s">
        <v>550</v>
      </c>
      <c r="C85" s="771"/>
      <c r="D85" s="495"/>
      <c r="E85" s="495"/>
      <c r="F85" s="495"/>
      <c r="G85" s="495"/>
      <c r="H85" s="495"/>
      <c r="I85" s="495"/>
      <c r="J85" s="495"/>
      <c r="K85" s="496"/>
      <c r="L85" s="137"/>
      <c r="M85" s="137"/>
      <c r="N85" s="137"/>
      <c r="O85" s="137"/>
      <c r="P85" s="137"/>
      <c r="Q85" s="137"/>
      <c r="R85" s="137"/>
      <c r="S85" s="137"/>
    </row>
    <row r="86" spans="2:19" ht="15" customHeight="1" x14ac:dyDescent="0.2">
      <c r="B86" s="772" t="s">
        <v>551</v>
      </c>
      <c r="C86" s="772"/>
      <c r="D86" s="492">
        <v>0</v>
      </c>
      <c r="E86" s="492">
        <v>0</v>
      </c>
      <c r="F86" s="492">
        <v>0</v>
      </c>
      <c r="G86" s="492">
        <v>0</v>
      </c>
      <c r="H86" s="492">
        <v>0</v>
      </c>
      <c r="I86" s="492">
        <v>0</v>
      </c>
      <c r="J86" s="492">
        <v>0</v>
      </c>
      <c r="K86" s="167">
        <v>0</v>
      </c>
      <c r="L86" s="137"/>
      <c r="M86" s="137"/>
      <c r="N86" s="137"/>
      <c r="O86" s="137"/>
      <c r="P86" s="137"/>
      <c r="Q86" s="137"/>
      <c r="R86" s="137"/>
      <c r="S86" s="137"/>
    </row>
    <row r="87" spans="2:19" ht="15" customHeight="1" x14ac:dyDescent="0.2">
      <c r="B87" s="768" t="s">
        <v>552</v>
      </c>
      <c r="C87" s="768"/>
      <c r="D87" s="139">
        <v>4877</v>
      </c>
      <c r="E87" s="139">
        <v>43452</v>
      </c>
      <c r="F87" s="139">
        <v>307869</v>
      </c>
      <c r="G87" s="139">
        <v>116232</v>
      </c>
      <c r="H87" s="139">
        <v>0</v>
      </c>
      <c r="I87" s="139">
        <v>0</v>
      </c>
      <c r="J87" s="139">
        <v>13251</v>
      </c>
      <c r="K87" s="139">
        <v>459179</v>
      </c>
      <c r="L87" s="137"/>
      <c r="M87" s="137"/>
      <c r="N87" s="137"/>
      <c r="O87" s="137"/>
      <c r="P87" s="137"/>
      <c r="Q87" s="137"/>
      <c r="R87" s="137"/>
      <c r="S87" s="137"/>
    </row>
    <row r="88" spans="2:19" ht="15" customHeight="1" x14ac:dyDescent="0.2">
      <c r="B88" s="768" t="s">
        <v>553</v>
      </c>
      <c r="C88" s="768"/>
      <c r="D88" s="139">
        <v>1185230</v>
      </c>
      <c r="E88" s="139">
        <v>1248731</v>
      </c>
      <c r="F88" s="139">
        <v>3063289</v>
      </c>
      <c r="G88" s="139">
        <v>177105</v>
      </c>
      <c r="H88" s="139">
        <v>0</v>
      </c>
      <c r="I88" s="139">
        <v>0</v>
      </c>
      <c r="J88" s="139">
        <v>1313595</v>
      </c>
      <c r="K88" s="139">
        <v>4360760</v>
      </c>
      <c r="L88" s="137"/>
      <c r="M88" s="137"/>
      <c r="N88" s="137"/>
      <c r="O88" s="137"/>
      <c r="P88" s="137"/>
      <c r="Q88" s="137"/>
      <c r="R88" s="137"/>
      <c r="S88" s="137"/>
    </row>
    <row r="89" spans="2:19" ht="15" customHeight="1" x14ac:dyDescent="0.2">
      <c r="B89" s="768" t="s">
        <v>554</v>
      </c>
      <c r="C89" s="768"/>
      <c r="D89" s="497">
        <v>0</v>
      </c>
      <c r="E89" s="497">
        <v>0</v>
      </c>
      <c r="F89" s="497">
        <v>0</v>
      </c>
      <c r="G89" s="497">
        <v>0</v>
      </c>
      <c r="H89" s="497">
        <v>0</v>
      </c>
      <c r="I89" s="497">
        <v>0</v>
      </c>
      <c r="J89" s="497">
        <v>0</v>
      </c>
      <c r="K89" s="497">
        <v>0</v>
      </c>
      <c r="L89" s="137"/>
      <c r="M89" s="137"/>
      <c r="N89" s="137"/>
      <c r="O89" s="137"/>
      <c r="P89" s="137"/>
      <c r="Q89" s="137"/>
      <c r="R89" s="137"/>
      <c r="S89" s="137"/>
    </row>
    <row r="90" spans="2:19" x14ac:dyDescent="0.2">
      <c r="B90" s="768" t="s">
        <v>555</v>
      </c>
      <c r="C90" s="768"/>
      <c r="D90" s="244">
        <v>1224528</v>
      </c>
      <c r="E90" s="139">
        <v>1600650</v>
      </c>
      <c r="F90" s="244">
        <v>1283215</v>
      </c>
      <c r="G90" s="244">
        <v>168377</v>
      </c>
      <c r="H90" s="497">
        <v>0</v>
      </c>
      <c r="I90" s="497">
        <v>0</v>
      </c>
      <c r="J90" s="497">
        <v>101731</v>
      </c>
      <c r="K90" s="244">
        <f>G90+F90+E90+D90-J90</f>
        <v>4175039</v>
      </c>
      <c r="L90" s="304">
        <f>K90-RZiS!E8</f>
        <v>0</v>
      </c>
      <c r="M90" s="137"/>
      <c r="N90" s="137"/>
      <c r="O90" s="137"/>
      <c r="P90" s="137"/>
      <c r="Q90" s="137"/>
      <c r="R90" s="137"/>
      <c r="S90" s="137"/>
    </row>
    <row r="91" spans="2:19" ht="15" customHeight="1" x14ac:dyDescent="0.2">
      <c r="B91" s="768" t="s">
        <v>556</v>
      </c>
      <c r="C91" s="768"/>
      <c r="D91" s="497">
        <v>0</v>
      </c>
      <c r="E91" s="497">
        <v>532630</v>
      </c>
      <c r="F91" s="497">
        <v>0</v>
      </c>
      <c r="G91" s="497">
        <v>0</v>
      </c>
      <c r="H91" s="497">
        <v>0</v>
      </c>
      <c r="I91" s="497">
        <v>0</v>
      </c>
      <c r="J91" s="497">
        <v>0</v>
      </c>
      <c r="K91" s="244">
        <f>G91+F91+E91+D91-J91</f>
        <v>532630</v>
      </c>
      <c r="L91" s="321"/>
      <c r="M91" s="137"/>
      <c r="N91" s="137"/>
      <c r="O91" s="137"/>
      <c r="P91" s="137"/>
      <c r="Q91" s="137"/>
      <c r="R91" s="137"/>
      <c r="S91" s="137"/>
    </row>
    <row r="92" spans="2:19" ht="15" hidden="1" customHeight="1" x14ac:dyDescent="0.2">
      <c r="B92" s="768" t="s">
        <v>557</v>
      </c>
      <c r="C92" s="768"/>
      <c r="D92" s="244">
        <v>0</v>
      </c>
      <c r="E92" s="139">
        <v>0</v>
      </c>
      <c r="F92" s="139">
        <v>0</v>
      </c>
      <c r="G92" s="244">
        <v>0</v>
      </c>
      <c r="H92" s="497">
        <v>0</v>
      </c>
      <c r="I92" s="497">
        <v>0</v>
      </c>
      <c r="J92" s="497">
        <v>0</v>
      </c>
      <c r="K92" s="244">
        <v>0</v>
      </c>
      <c r="L92" s="137"/>
      <c r="M92" s="137"/>
      <c r="N92" s="137"/>
      <c r="O92" s="137"/>
      <c r="P92" s="137"/>
      <c r="Q92" s="137"/>
      <c r="R92" s="137"/>
      <c r="S92" s="137"/>
    </row>
    <row r="93" spans="2:19" x14ac:dyDescent="0.2">
      <c r="B93" s="11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</row>
    <row r="94" spans="2:19" s="51" customFormat="1" x14ac:dyDescent="0.2">
      <c r="B94" s="54" t="s">
        <v>927</v>
      </c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9" ht="25.35" customHeight="1" x14ac:dyDescent="0.2">
      <c r="B95" s="101" t="s">
        <v>316</v>
      </c>
      <c r="C95" s="485" t="s">
        <v>205</v>
      </c>
      <c r="D95" s="71" t="s">
        <v>303</v>
      </c>
      <c r="E95" s="485" t="s">
        <v>620</v>
      </c>
      <c r="F95" s="485" t="s">
        <v>621</v>
      </c>
      <c r="G95" s="51"/>
      <c r="H95" s="51"/>
      <c r="I95" s="51"/>
      <c r="J95" s="51"/>
      <c r="K95" s="51"/>
      <c r="L95" s="51"/>
      <c r="M95" s="51"/>
    </row>
    <row r="96" spans="2:19" ht="32.700000000000003" customHeight="1" x14ac:dyDescent="0.2">
      <c r="B96" s="2" t="s">
        <v>299</v>
      </c>
      <c r="C96" s="708">
        <f>54601405-D96</f>
        <v>48821141</v>
      </c>
      <c r="D96" s="708">
        <f>E96+F96</f>
        <v>5780264</v>
      </c>
      <c r="E96" s="708">
        <v>4841206</v>
      </c>
      <c r="F96" s="708">
        <v>939058</v>
      </c>
      <c r="G96" s="370"/>
    </row>
    <row r="97" spans="2:13" ht="25.35" hidden="1" customHeight="1" x14ac:dyDescent="0.2">
      <c r="B97" s="2" t="s">
        <v>108</v>
      </c>
      <c r="C97" s="105">
        <v>0</v>
      </c>
      <c r="D97" s="105">
        <v>0</v>
      </c>
      <c r="E97" s="105">
        <v>0</v>
      </c>
      <c r="F97" s="105">
        <v>0</v>
      </c>
      <c r="G97" s="370"/>
    </row>
    <row r="98" spans="2:13" ht="25.35" hidden="1" customHeight="1" x14ac:dyDescent="0.2">
      <c r="B98" s="2" t="s">
        <v>300</v>
      </c>
      <c r="C98" s="105">
        <v>0</v>
      </c>
      <c r="D98" s="105">
        <v>0</v>
      </c>
      <c r="E98" s="105">
        <v>0</v>
      </c>
      <c r="F98" s="105">
        <v>0</v>
      </c>
      <c r="G98" s="483"/>
    </row>
    <row r="99" spans="2:13" ht="25.35" hidden="1" customHeight="1" x14ac:dyDescent="0.2">
      <c r="B99" s="2" t="s">
        <v>301</v>
      </c>
      <c r="C99" s="105">
        <v>0</v>
      </c>
      <c r="D99" s="105">
        <v>0</v>
      </c>
      <c r="E99" s="105">
        <v>0</v>
      </c>
      <c r="F99" s="105">
        <v>0</v>
      </c>
      <c r="G99" s="370"/>
    </row>
    <row r="100" spans="2:13" ht="25.35" hidden="1" customHeight="1" x14ac:dyDescent="0.2">
      <c r="B100" s="2" t="s">
        <v>302</v>
      </c>
      <c r="C100" s="105">
        <v>0</v>
      </c>
      <c r="D100" s="105">
        <v>0</v>
      </c>
      <c r="E100" s="105">
        <v>0</v>
      </c>
      <c r="F100" s="105">
        <v>0</v>
      </c>
      <c r="G100" s="483"/>
    </row>
    <row r="102" spans="2:13" ht="13.2" x14ac:dyDescent="0.25">
      <c r="B102" s="54" t="s">
        <v>763</v>
      </c>
      <c r="L102"/>
      <c r="M102"/>
    </row>
    <row r="103" spans="2:13" ht="13.2" x14ac:dyDescent="0.25">
      <c r="B103" s="101" t="s">
        <v>316</v>
      </c>
      <c r="C103" s="485" t="s">
        <v>205</v>
      </c>
      <c r="D103" s="71" t="s">
        <v>303</v>
      </c>
      <c r="E103" s="485" t="s">
        <v>620</v>
      </c>
      <c r="F103" s="485" t="s">
        <v>621</v>
      </c>
      <c r="L103"/>
      <c r="M103"/>
    </row>
    <row r="104" spans="2:13" ht="13.2" x14ac:dyDescent="0.25">
      <c r="B104" s="2" t="s">
        <v>299</v>
      </c>
      <c r="C104" s="240">
        <f>49459319+1310152</f>
        <v>50769471</v>
      </c>
      <c r="D104" s="240">
        <f>E104+F104</f>
        <v>7533035</v>
      </c>
      <c r="E104" s="240">
        <v>6128601</v>
      </c>
      <c r="F104" s="240">
        <v>1404434</v>
      </c>
      <c r="G104" s="51"/>
      <c r="H104"/>
      <c r="I104"/>
      <c r="J104"/>
      <c r="K104"/>
      <c r="L104"/>
      <c r="M104"/>
    </row>
    <row r="105" spans="2:13" ht="36.75" hidden="1" customHeight="1" x14ac:dyDescent="0.25">
      <c r="B105" s="2" t="s">
        <v>108</v>
      </c>
      <c r="C105" s="105">
        <v>0</v>
      </c>
      <c r="D105" s="105">
        <v>0</v>
      </c>
      <c r="E105" s="105">
        <v>0</v>
      </c>
      <c r="F105" s="105">
        <v>0</v>
      </c>
      <c r="G105" s="370"/>
      <c r="H105"/>
      <c r="I105"/>
      <c r="J105"/>
      <c r="K105"/>
      <c r="L105"/>
      <c r="M105"/>
    </row>
    <row r="106" spans="2:13" ht="20.100000000000001" hidden="1" customHeight="1" x14ac:dyDescent="0.25">
      <c r="B106" s="2" t="s">
        <v>300</v>
      </c>
      <c r="C106" s="105">
        <v>0</v>
      </c>
      <c r="D106" s="105">
        <v>0</v>
      </c>
      <c r="E106" s="105">
        <v>0</v>
      </c>
      <c r="F106" s="105">
        <v>0</v>
      </c>
      <c r="G106" s="370"/>
      <c r="H106"/>
      <c r="I106"/>
      <c r="J106"/>
      <c r="K106"/>
      <c r="L106"/>
      <c r="M106"/>
    </row>
    <row r="107" spans="2:13" ht="28.5" hidden="1" customHeight="1" x14ac:dyDescent="0.25">
      <c r="B107" s="2" t="s">
        <v>301</v>
      </c>
      <c r="C107" s="105">
        <v>0</v>
      </c>
      <c r="D107" s="105">
        <v>0</v>
      </c>
      <c r="E107" s="105">
        <v>0</v>
      </c>
      <c r="F107" s="105">
        <v>0</v>
      </c>
      <c r="G107" s="370"/>
      <c r="H107"/>
      <c r="I107"/>
      <c r="J107"/>
      <c r="K107"/>
      <c r="L107"/>
      <c r="M107"/>
    </row>
    <row r="108" spans="2:13" ht="13.2" hidden="1" x14ac:dyDescent="0.25">
      <c r="B108" s="2" t="s">
        <v>302</v>
      </c>
      <c r="C108" s="105">
        <v>0</v>
      </c>
      <c r="D108" s="105">
        <v>0</v>
      </c>
      <c r="E108" s="105">
        <v>0</v>
      </c>
      <c r="F108" s="105">
        <v>0</v>
      </c>
      <c r="G108" s="483"/>
      <c r="H108"/>
      <c r="I108"/>
      <c r="J108"/>
      <c r="K108"/>
      <c r="L108"/>
      <c r="M108"/>
    </row>
    <row r="109" spans="2:13" ht="13.2" hidden="1" x14ac:dyDescent="0.25">
      <c r="B109" s="2" t="s">
        <v>302</v>
      </c>
      <c r="C109" s="105">
        <v>0</v>
      </c>
      <c r="D109" s="105">
        <v>0</v>
      </c>
      <c r="E109" s="105">
        <v>0</v>
      </c>
      <c r="F109" s="105">
        <v>0</v>
      </c>
      <c r="G109" s="370"/>
      <c r="H109"/>
      <c r="I109"/>
      <c r="J109"/>
      <c r="K109"/>
      <c r="L109"/>
      <c r="M109"/>
    </row>
    <row r="111" spans="2:13" ht="13.2" x14ac:dyDescent="0.25">
      <c r="B111" s="54"/>
      <c r="L111"/>
      <c r="M111"/>
    </row>
    <row r="112" spans="2:13" ht="11.25" customHeight="1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ht="13.2" x14ac:dyDescent="0.25">
      <c r="B113" s="54" t="s">
        <v>206</v>
      </c>
      <c r="G113"/>
      <c r="H113"/>
      <c r="I113"/>
      <c r="J113"/>
      <c r="K113"/>
      <c r="L113"/>
      <c r="M113"/>
    </row>
    <row r="114" spans="2:13" x14ac:dyDescent="0.2">
      <c r="B114" s="54"/>
    </row>
    <row r="115" spans="2:13" x14ac:dyDescent="0.2">
      <c r="B115" s="790"/>
      <c r="C115" s="788" t="s">
        <v>843</v>
      </c>
      <c r="D115" s="789"/>
      <c r="E115" s="788" t="s">
        <v>756</v>
      </c>
      <c r="F115" s="789"/>
    </row>
    <row r="116" spans="2:13" x14ac:dyDescent="0.2">
      <c r="B116" s="791"/>
      <c r="C116" s="115" t="s">
        <v>211</v>
      </c>
      <c r="D116" s="115" t="s">
        <v>207</v>
      </c>
      <c r="E116" s="115" t="s">
        <v>211</v>
      </c>
      <c r="F116" s="115" t="s">
        <v>207</v>
      </c>
    </row>
    <row r="117" spans="2:13" x14ac:dyDescent="0.2">
      <c r="B117" s="50" t="s">
        <v>208</v>
      </c>
      <c r="C117" s="152">
        <v>48821141</v>
      </c>
      <c r="D117" s="498">
        <f>C117/$C$121</f>
        <v>0.89413708310253193</v>
      </c>
      <c r="E117" s="152">
        <v>50769471</v>
      </c>
      <c r="F117" s="498">
        <v>0.91720727577130767</v>
      </c>
    </row>
    <row r="118" spans="2:13" x14ac:dyDescent="0.2">
      <c r="B118" s="50" t="s">
        <v>209</v>
      </c>
      <c r="C118" s="152">
        <f>C119+C120</f>
        <v>5780264</v>
      </c>
      <c r="D118" s="498">
        <f t="shared" ref="D118:D120" si="17">C118/$C$121</f>
        <v>0.10586291689746812</v>
      </c>
      <c r="E118" s="152">
        <f>E119+E120</f>
        <v>7533035</v>
      </c>
      <c r="F118" s="498">
        <v>8.2792724228692313E-2</v>
      </c>
    </row>
    <row r="119" spans="2:13" x14ac:dyDescent="0.2">
      <c r="B119" s="46" t="s">
        <v>210</v>
      </c>
      <c r="C119" s="169">
        <f>E96</f>
        <v>4841206</v>
      </c>
      <c r="D119" s="498">
        <f t="shared" si="17"/>
        <v>8.866449498872786E-2</v>
      </c>
      <c r="E119" s="169">
        <v>6128601</v>
      </c>
      <c r="F119" s="498">
        <v>5.7920424081356371E-2</v>
      </c>
    </row>
    <row r="120" spans="2:13" x14ac:dyDescent="0.2">
      <c r="B120" s="46" t="s">
        <v>621</v>
      </c>
      <c r="C120" s="169">
        <f>F96</f>
        <v>939058</v>
      </c>
      <c r="D120" s="498">
        <f t="shared" si="17"/>
        <v>1.7198421908740262E-2</v>
      </c>
      <c r="E120" s="169">
        <v>1404434</v>
      </c>
      <c r="F120" s="498">
        <v>2.4872300147335935E-2</v>
      </c>
    </row>
    <row r="121" spans="2:13" x14ac:dyDescent="0.2">
      <c r="B121" s="482" t="s">
        <v>27</v>
      </c>
      <c r="C121" s="152">
        <f>C117+C118</f>
        <v>54601405</v>
      </c>
      <c r="D121" s="498">
        <v>1</v>
      </c>
      <c r="E121" s="152">
        <f>E117+E118</f>
        <v>58302506</v>
      </c>
      <c r="F121" s="498">
        <v>1</v>
      </c>
    </row>
    <row r="122" spans="2:13" ht="13.2" x14ac:dyDescent="0.25">
      <c r="B122"/>
      <c r="C122" s="314">
        <f>C121-RZiS!D3</f>
        <v>0</v>
      </c>
      <c r="D122" s="370"/>
      <c r="E122" s="314">
        <f>E121-RZiS!E3</f>
        <v>0</v>
      </c>
      <c r="F122" s="370"/>
    </row>
  </sheetData>
  <mergeCells count="71">
    <mergeCell ref="B73:C73"/>
    <mergeCell ref="B115:B116"/>
    <mergeCell ref="C115:D115"/>
    <mergeCell ref="B81:C81"/>
    <mergeCell ref="B82:C82"/>
    <mergeCell ref="B87:C87"/>
    <mergeCell ref="B88:C88"/>
    <mergeCell ref="B89:C89"/>
    <mergeCell ref="E115:F115"/>
    <mergeCell ref="B74:C74"/>
    <mergeCell ref="B75:C75"/>
    <mergeCell ref="B76:C76"/>
    <mergeCell ref="B77:C77"/>
    <mergeCell ref="B78:C78"/>
    <mergeCell ref="B79:C79"/>
    <mergeCell ref="B80:C80"/>
    <mergeCell ref="B92:C92"/>
    <mergeCell ref="B83:C83"/>
    <mergeCell ref="B84:C84"/>
    <mergeCell ref="B85:C85"/>
    <mergeCell ref="B86:C86"/>
    <mergeCell ref="B90:C90"/>
    <mergeCell ref="B91:C91"/>
    <mergeCell ref="I60:I61"/>
    <mergeCell ref="J60:J61"/>
    <mergeCell ref="K60:K61"/>
    <mergeCell ref="B71:C71"/>
    <mergeCell ref="B72:C72"/>
    <mergeCell ref="B60:C61"/>
    <mergeCell ref="D60:G60"/>
    <mergeCell ref="H60:H61"/>
    <mergeCell ref="B68:C68"/>
    <mergeCell ref="B62:B63"/>
    <mergeCell ref="B64:B65"/>
    <mergeCell ref="B66:C66"/>
    <mergeCell ref="B67:C67"/>
    <mergeCell ref="B70:C70"/>
    <mergeCell ref="K22:K23"/>
    <mergeCell ref="B24:B25"/>
    <mergeCell ref="B26:B27"/>
    <mergeCell ref="B28:C28"/>
    <mergeCell ref="B29:C29"/>
    <mergeCell ref="B22:C23"/>
    <mergeCell ref="D22:G22"/>
    <mergeCell ref="H22:H23"/>
    <mergeCell ref="I22:I23"/>
    <mergeCell ref="J22:J23"/>
    <mergeCell ref="B30:C30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1:C51"/>
    <mergeCell ref="B52:C52"/>
    <mergeCell ref="B53:C53"/>
    <mergeCell ref="B54:C54"/>
    <mergeCell ref="B46:C46"/>
    <mergeCell ref="B47:C47"/>
    <mergeCell ref="B48:C48"/>
    <mergeCell ref="B49:C49"/>
    <mergeCell ref="B50:C50"/>
  </mergeCells>
  <phoneticPr fontId="31" type="noConversion"/>
  <pageMargins left="0.7" right="0.7" top="0.75" bottom="0.75" header="0.3" footer="0.3"/>
  <pageSetup paperSize="9" scale="3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7A0742EB5AE84F8541A83538216CA2" ma:contentTypeVersion="7" ma:contentTypeDescription="Utwórz nowy dokument." ma:contentTypeScope="" ma:versionID="a3d7bdb68db8835c122a6c1fb605f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4085628a59a80f6f21251454f0c02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6629C00-9E27-4D81-A43F-E4058F52B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C376F-1668-4EF6-8AEA-3AA5FDCEF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33703A-D549-4781-8EEA-D6219AC17B5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34</vt:i4>
      </vt:variant>
    </vt:vector>
  </HeadingPairs>
  <TitlesOfParts>
    <vt:vector size="73" baseType="lpstr">
      <vt:lpstr>Dane podstawowe</vt:lpstr>
      <vt:lpstr>wybrane dane finansowe</vt:lpstr>
      <vt:lpstr>RZiS</vt:lpstr>
      <vt:lpstr>Skr. spr. z cał. dochodów</vt:lpstr>
      <vt:lpstr>Aktywa</vt:lpstr>
      <vt:lpstr>Pasywa</vt:lpstr>
      <vt:lpstr>ZZwK</vt:lpstr>
      <vt:lpstr>RPP</vt:lpstr>
      <vt:lpstr>NOTA 1,2 - Przychody i segmenty</vt:lpstr>
      <vt:lpstr>NOTA 3 - Koszty rodzajowe</vt:lpstr>
      <vt:lpstr>NOTA 4 - PPO i PKO</vt:lpstr>
      <vt:lpstr>NOTA 5 - PF i KF</vt:lpstr>
      <vt:lpstr>NOTA 6 - Podatek </vt:lpstr>
      <vt:lpstr>NOTA 7 - Zysk na 1 akcję</vt:lpstr>
      <vt:lpstr>NOTA 9 -Rzeczowe aktywa trwałe</vt:lpstr>
      <vt:lpstr>NOTA 10 -Wartości niematerialne</vt:lpstr>
      <vt:lpstr>NOTA 11 - PRAWO DO UŻYTKOWANIA</vt:lpstr>
      <vt:lpstr>NOTA 12 - Wartość firmy</vt:lpstr>
      <vt:lpstr>NOTA 13,14,15 - Udziały,poz.akt</vt:lpstr>
      <vt:lpstr>NOTA 16 -Akt. fin.</vt:lpstr>
      <vt:lpstr>NOTA 17,18 - Należności</vt:lpstr>
      <vt:lpstr>NOTA 19 - RMK</vt:lpstr>
      <vt:lpstr>NOTA 20 - Środki pieniężne</vt:lpstr>
      <vt:lpstr>NOTA  21,22,23- Kapitały</vt:lpstr>
      <vt:lpstr>NOTA 24 Kredyty i pożyczki</vt:lpstr>
      <vt:lpstr>NOTA 25 Zobowiązania finansowe</vt:lpstr>
      <vt:lpstr>NOTA 26,27 - Zob. hand i pozost</vt:lpstr>
      <vt:lpstr>NOTA 28 - RMP</vt:lpstr>
      <vt:lpstr>NOTA 29,30 - Rezerwy</vt:lpstr>
      <vt:lpstr>NOTA 31 - Zarządzanie ryzykiem</vt:lpstr>
      <vt:lpstr>NOTA 32 - Wpływ COVID-19</vt:lpstr>
      <vt:lpstr>NOTA 33 - Zarządzanie kapitałem</vt:lpstr>
      <vt:lpstr>NOTA 34 - Podmioty powiązane</vt:lpstr>
      <vt:lpstr>NOTA 35- Wynagrodzenie kadry </vt:lpstr>
      <vt:lpstr>NOTA 36 - Sruktura zatrudnienia</vt:lpstr>
      <vt:lpstr>NOTA 41 - Wynagrodzenie BR</vt:lpstr>
      <vt:lpstr>NOTA 42 - Objasnienia do RPP</vt:lpstr>
      <vt:lpstr>opis zmian</vt:lpstr>
      <vt:lpstr>uzgodnienia</vt:lpstr>
      <vt:lpstr>Aktywa!Obszar_wydruku</vt:lpstr>
      <vt:lpstr>'NOTA  21,22,23- Kapitały'!Obszar_wydruku</vt:lpstr>
      <vt:lpstr>'NOTA 10 -Wartości niematerialne'!Obszar_wydruku</vt:lpstr>
      <vt:lpstr>'NOTA 12 - Wartość firmy'!Obszar_wydruku</vt:lpstr>
      <vt:lpstr>'NOTA 13,14,15 - Udziały,poz.akt'!Obszar_wydruku</vt:lpstr>
      <vt:lpstr>'NOTA 16 -Akt. fin.'!Obszar_wydruku</vt:lpstr>
      <vt:lpstr>'NOTA 17,18 - Należności'!Obszar_wydruku</vt:lpstr>
      <vt:lpstr>'NOTA 19 - RMK'!Obszar_wydruku</vt:lpstr>
      <vt:lpstr>'NOTA 20 - Środki pieniężne'!Obszar_wydruku</vt:lpstr>
      <vt:lpstr>'NOTA 24 Kredyty i pożyczki'!Obszar_wydruku</vt:lpstr>
      <vt:lpstr>'NOTA 25 Zobowiązania finansowe'!Obszar_wydruku</vt:lpstr>
      <vt:lpstr>'NOTA 26,27 - Zob. hand i pozost'!Obszar_wydruku</vt:lpstr>
      <vt:lpstr>'NOTA 28 - RMP'!Obszar_wydruku</vt:lpstr>
      <vt:lpstr>'NOTA 29,30 - Rezerwy'!Obszar_wydruku</vt:lpstr>
      <vt:lpstr>'NOTA 3 - Koszty rodzajowe'!Obszar_wydruku</vt:lpstr>
      <vt:lpstr>'NOTA 31 - Zarządzanie ryzykiem'!Obszar_wydruku</vt:lpstr>
      <vt:lpstr>'NOTA 32 - Wpływ COVID-19'!Obszar_wydruku</vt:lpstr>
      <vt:lpstr>'NOTA 33 - Zarządzanie kapitałem'!Obszar_wydruku</vt:lpstr>
      <vt:lpstr>'NOTA 34 - Podmioty powiązane'!Obszar_wydruku</vt:lpstr>
      <vt:lpstr>'NOTA 35- Wynagrodzenie kadry '!Obszar_wydruku</vt:lpstr>
      <vt:lpstr>'NOTA 36 - Sruktura zatrudnienia'!Obszar_wydruku</vt:lpstr>
      <vt:lpstr>'NOTA 4 - PPO i PKO'!Obszar_wydruku</vt:lpstr>
      <vt:lpstr>'NOTA 41 - Wynagrodzenie BR'!Obszar_wydruku</vt:lpstr>
      <vt:lpstr>'NOTA 42 - Objasnienia do RPP'!Obszar_wydruku</vt:lpstr>
      <vt:lpstr>'NOTA 5 - PF i KF'!Obszar_wydruku</vt:lpstr>
      <vt:lpstr>'NOTA 6 - Podatek '!Obszar_wydruku</vt:lpstr>
      <vt:lpstr>'NOTA 7 - Zysk na 1 akcję'!Obszar_wydruku</vt:lpstr>
      <vt:lpstr>'NOTA 9 -Rzeczowe aktywa trwałe'!Obszar_wydruku</vt:lpstr>
      <vt:lpstr>Pasywa!Obszar_wydruku</vt:lpstr>
      <vt:lpstr>RPP!Obszar_wydruku</vt:lpstr>
      <vt:lpstr>RZiS!Obszar_wydruku</vt:lpstr>
      <vt:lpstr>'Skr. spr. z cał. dochodów'!Obszar_wydruku</vt:lpstr>
      <vt:lpstr>'wybrane dane finansowe'!Obszar_wydruku</vt:lpstr>
      <vt:lpstr>ZZwK!Obszar_wydruku</vt:lpstr>
    </vt:vector>
  </TitlesOfParts>
  <Company>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Szymańska</dc:creator>
  <cp:lastModifiedBy>Tomasz Skupień</cp:lastModifiedBy>
  <cp:lastPrinted>2019-04-15T11:19:01Z</cp:lastPrinted>
  <dcterms:created xsi:type="dcterms:W3CDTF">2007-11-12T12:49:29Z</dcterms:created>
  <dcterms:modified xsi:type="dcterms:W3CDTF">2021-07-02T12:48:01Z</dcterms:modified>
</cp:coreProperties>
</file>